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Libraries\My Webs\gairik.com\3\work\yl\hl\"/>
    </mc:Choice>
  </mc:AlternateContent>
  <bookViews>
    <workbookView xWindow="0" yWindow="0" windowWidth="23040" windowHeight="8580"/>
  </bookViews>
  <sheets>
    <sheet name="PL, NPV, IRR" sheetId="1" r:id="rId1"/>
    <sheet name="Revenue Projection" sheetId="2" r:id="rId2"/>
    <sheet name="Burn Rate - Burn Rate" sheetId="3" r:id="rId3"/>
    <sheet name="Revenue Projection Brief - Reve" sheetId="4" r:id="rId4"/>
    <sheet name="Partner Onboarding Scheme" sheetId="5" r:id="rId5"/>
    <sheet name="Marketing Cost - Marketing Cost" sheetId="6" r:id="rId6"/>
    <sheet name="Marketing Brief " sheetId="7" r:id="rId7"/>
    <sheet name="Software Cost" sheetId="8" r:id="rId8"/>
    <sheet name="HR Cost" sheetId="9" r:id="rId9"/>
    <sheet name="Other Recurrant Costs - Other S" sheetId="10" r:id="rId10"/>
    <sheet name="Roles" sheetId="11" r:id="rId11"/>
  </sheets>
  <definedNames>
    <definedName name="_xlnm.Print_Area" localSheetId="2">'Burn Rate - Burn Rate'!$A$1:$Q$8</definedName>
    <definedName name="_xlnm.Print_Area" localSheetId="5">'Marketing Cost - Marketing Cost'!$A$1:$T$32</definedName>
    <definedName name="_xlnm.Print_Area" localSheetId="4">'Partner Onboarding Scheme'!$C$5:$S$12</definedName>
    <definedName name="_xlnm.Print_Area" localSheetId="0">'PL, NPV, IRR'!$A$1:$U$28</definedName>
    <definedName name="_xlnm.Print_Area" localSheetId="1">'Revenue Projection'!$A$1:$S$71</definedName>
    <definedName name="_xlnm.Print_Titles" localSheetId="5">'Marketing Cost - Marketing Cost'!$A:$D,'Marketing Cost - Marketing Cost'!$1:$3</definedName>
    <definedName name="_xlnm.Print_Titles" localSheetId="4">'Partner Onboarding Scheme'!$A:$C,'Partner Onboarding Scheme'!$1:$4</definedName>
    <definedName name="_xlnm.Print_Titles" localSheetId="1">'Revenue Projection'!$A:$C,'Revenue Projection'!$1:$3</definedName>
  </definedNames>
  <calcPr calcId="152511"/>
</workbook>
</file>

<file path=xl/calcChain.xml><?xml version="1.0" encoding="utf-8"?>
<calcChain xmlns="http://schemas.openxmlformats.org/spreadsheetml/2006/main">
  <c r="S21" i="9" l="1"/>
  <c r="R21" i="9"/>
  <c r="Q21" i="9"/>
  <c r="P21" i="9"/>
  <c r="O21" i="9"/>
  <c r="N21" i="9"/>
  <c r="M21" i="9"/>
  <c r="L21" i="9"/>
  <c r="K21" i="9"/>
  <c r="J21" i="9"/>
  <c r="I21" i="9"/>
  <c r="H21" i="9"/>
  <c r="G21" i="9"/>
  <c r="F21" i="9"/>
  <c r="E21" i="9"/>
  <c r="D21" i="9"/>
  <c r="S19" i="9"/>
  <c r="R19" i="9"/>
  <c r="Q19" i="9"/>
  <c r="P19" i="9"/>
  <c r="O19" i="9"/>
  <c r="N19" i="9"/>
  <c r="M19" i="9"/>
  <c r="L19" i="9"/>
  <c r="K19" i="9"/>
  <c r="J19" i="9"/>
  <c r="I19" i="9"/>
  <c r="H19" i="9"/>
  <c r="G19" i="9"/>
  <c r="F19" i="9"/>
  <c r="E19" i="9"/>
  <c r="D19" i="9"/>
  <c r="F16" i="9"/>
  <c r="F17" i="9" s="1"/>
  <c r="E16" i="9"/>
  <c r="E17" i="9" s="1"/>
  <c r="D16" i="9"/>
  <c r="D17" i="9" s="1"/>
  <c r="F15" i="9"/>
  <c r="E15" i="9"/>
  <c r="D15" i="9"/>
  <c r="C15" i="9"/>
  <c r="F13" i="9"/>
  <c r="D13" i="9"/>
  <c r="C13" i="9"/>
  <c r="E13" i="9" s="1"/>
  <c r="A8" i="9"/>
  <c r="D7" i="9"/>
  <c r="A7" i="9"/>
  <c r="A6" i="9"/>
  <c r="A5" i="9"/>
  <c r="C11" i="8"/>
  <c r="C12" i="8" s="1"/>
  <c r="D12" i="8" s="1"/>
  <c r="Q10" i="7"/>
  <c r="P10" i="7"/>
  <c r="O10" i="7"/>
  <c r="N10" i="7"/>
  <c r="M10" i="7"/>
  <c r="L10" i="7"/>
  <c r="K10" i="7"/>
  <c r="J10" i="7"/>
  <c r="I10" i="7"/>
  <c r="H10" i="7"/>
  <c r="G10" i="7"/>
  <c r="F10" i="7"/>
  <c r="E10" i="7"/>
  <c r="D10" i="7"/>
  <c r="C10" i="7"/>
  <c r="B10" i="7"/>
  <c r="O9" i="7"/>
  <c r="G9" i="7"/>
  <c r="I8" i="7"/>
  <c r="H8" i="7"/>
  <c r="G8" i="7"/>
  <c r="E8" i="7"/>
  <c r="D8" i="7"/>
  <c r="C8" i="7"/>
  <c r="Q6" i="7"/>
  <c r="P6" i="7"/>
  <c r="O6" i="7"/>
  <c r="N6" i="7"/>
  <c r="M6" i="7"/>
  <c r="L6" i="7"/>
  <c r="K6" i="7"/>
  <c r="J6" i="7"/>
  <c r="I6" i="7"/>
  <c r="H6" i="7"/>
  <c r="G6" i="7"/>
  <c r="F6" i="7"/>
  <c r="E6" i="7"/>
  <c r="D6" i="7"/>
  <c r="C6" i="7"/>
  <c r="B6" i="7"/>
  <c r="J5" i="7"/>
  <c r="B5" i="7"/>
  <c r="J4" i="7"/>
  <c r="B4" i="7"/>
  <c r="T24" i="6"/>
  <c r="Q9" i="7" s="1"/>
  <c r="S24" i="6"/>
  <c r="P9" i="7" s="1"/>
  <c r="R24" i="6"/>
  <c r="Q24" i="6"/>
  <c r="P24" i="6"/>
  <c r="M9" i="7" s="1"/>
  <c r="O24" i="6"/>
  <c r="L9" i="7" s="1"/>
  <c r="N24" i="6"/>
  <c r="K9" i="7" s="1"/>
  <c r="M24" i="6"/>
  <c r="J9" i="7" s="1"/>
  <c r="L24" i="6"/>
  <c r="I9" i="7" s="1"/>
  <c r="K24" i="6"/>
  <c r="H9" i="7" s="1"/>
  <c r="J24" i="6"/>
  <c r="I24" i="6"/>
  <c r="H24" i="6"/>
  <c r="E9" i="7" s="1"/>
  <c r="G24" i="6"/>
  <c r="D9" i="7" s="1"/>
  <c r="F24" i="6"/>
  <c r="C9" i="7" s="1"/>
  <c r="E24" i="6"/>
  <c r="B9" i="7" s="1"/>
  <c r="E13" i="6"/>
  <c r="E15" i="6" s="1"/>
  <c r="T9" i="6"/>
  <c r="Q5" i="7" s="1"/>
  <c r="S9" i="6"/>
  <c r="P5" i="7" s="1"/>
  <c r="R9" i="6"/>
  <c r="O5" i="7" s="1"/>
  <c r="Q9" i="6"/>
  <c r="N5" i="7" s="1"/>
  <c r="P9" i="6"/>
  <c r="M5" i="7" s="1"/>
  <c r="O9" i="6"/>
  <c r="L5" i="7" s="1"/>
  <c r="N9" i="6"/>
  <c r="K5" i="7" s="1"/>
  <c r="M9" i="6"/>
  <c r="L9" i="6"/>
  <c r="I5" i="7" s="1"/>
  <c r="K9" i="6"/>
  <c r="H5" i="7" s="1"/>
  <c r="J9" i="6"/>
  <c r="G5" i="7" s="1"/>
  <c r="I9" i="6"/>
  <c r="F5" i="7" s="1"/>
  <c r="H9" i="6"/>
  <c r="E5" i="7" s="1"/>
  <c r="G9" i="6"/>
  <c r="D5" i="7" s="1"/>
  <c r="F9" i="6"/>
  <c r="C5" i="7" s="1"/>
  <c r="E9" i="6"/>
  <c r="T7" i="6"/>
  <c r="Q4" i="7" s="1"/>
  <c r="S7" i="6"/>
  <c r="P4" i="7" s="1"/>
  <c r="R7" i="6"/>
  <c r="O4" i="7" s="1"/>
  <c r="Q7" i="6"/>
  <c r="N4" i="7" s="1"/>
  <c r="P7" i="6"/>
  <c r="M4" i="7" s="1"/>
  <c r="O7" i="6"/>
  <c r="L4" i="7" s="1"/>
  <c r="N7" i="6"/>
  <c r="K4" i="7" s="1"/>
  <c r="M7" i="6"/>
  <c r="L7" i="6"/>
  <c r="I4" i="7" s="1"/>
  <c r="K7" i="6"/>
  <c r="H4" i="7" s="1"/>
  <c r="J7" i="6"/>
  <c r="G4" i="7" s="1"/>
  <c r="I7" i="6"/>
  <c r="F4" i="7" s="1"/>
  <c r="H7" i="6"/>
  <c r="E4" i="7" s="1"/>
  <c r="G7" i="6"/>
  <c r="D4" i="7" s="1"/>
  <c r="F7" i="6"/>
  <c r="C4" i="7" s="1"/>
  <c r="E7" i="6"/>
  <c r="S8" i="5"/>
  <c r="R8" i="5"/>
  <c r="Q8" i="5"/>
  <c r="P8" i="5"/>
  <c r="O8" i="5"/>
  <c r="N8" i="5"/>
  <c r="M8" i="5"/>
  <c r="L8" i="5"/>
  <c r="K8" i="5"/>
  <c r="J8" i="5"/>
  <c r="I8" i="5"/>
  <c r="H8" i="5"/>
  <c r="G8" i="5"/>
  <c r="F8" i="5"/>
  <c r="E8" i="5"/>
  <c r="D8" i="5"/>
  <c r="B15" i="4"/>
  <c r="B13" i="4"/>
  <c r="R10" i="4"/>
  <c r="Q10" i="4"/>
  <c r="P10" i="4"/>
  <c r="O10" i="4"/>
  <c r="N10" i="4"/>
  <c r="M10" i="4"/>
  <c r="L10" i="4"/>
  <c r="K10" i="4"/>
  <c r="J10" i="4"/>
  <c r="I10" i="4"/>
  <c r="H10" i="4"/>
  <c r="G10" i="4"/>
  <c r="F10" i="4"/>
  <c r="E10" i="4"/>
  <c r="D10" i="4"/>
  <c r="C10" i="4"/>
  <c r="R9" i="4"/>
  <c r="Q9" i="4"/>
  <c r="P9" i="4"/>
  <c r="O9" i="4"/>
  <c r="N9" i="4"/>
  <c r="M9" i="4"/>
  <c r="L9" i="4"/>
  <c r="K9" i="4"/>
  <c r="J9" i="4"/>
  <c r="I9" i="4"/>
  <c r="H9" i="4"/>
  <c r="G9" i="4"/>
  <c r="F9" i="4"/>
  <c r="E9" i="4"/>
  <c r="D9" i="4"/>
  <c r="C9" i="4"/>
  <c r="B7" i="4"/>
  <c r="B5" i="4"/>
  <c r="R4" i="4"/>
  <c r="Q4" i="4"/>
  <c r="P4" i="4"/>
  <c r="O4" i="4"/>
  <c r="N4" i="4"/>
  <c r="M4" i="4"/>
  <c r="L4" i="4"/>
  <c r="K4" i="4"/>
  <c r="J4" i="4"/>
  <c r="I4" i="4"/>
  <c r="H4" i="4"/>
  <c r="G4" i="4"/>
  <c r="F4" i="4"/>
  <c r="E4" i="4"/>
  <c r="D4" i="4"/>
  <c r="C4" i="4"/>
  <c r="B4" i="4"/>
  <c r="C64" i="2"/>
  <c r="C62" i="2"/>
  <c r="D41" i="2"/>
  <c r="D43" i="2" s="1"/>
  <c r="C38" i="2"/>
  <c r="D37" i="2"/>
  <c r="C7" i="4" s="1"/>
  <c r="D36" i="2"/>
  <c r="D23" i="2"/>
  <c r="C6" i="4" s="1"/>
  <c r="C23" i="2"/>
  <c r="B6" i="4" s="1"/>
  <c r="D22" i="2"/>
  <c r="C5" i="4" s="1"/>
  <c r="D16" i="2"/>
  <c r="D61" i="2" s="1"/>
  <c r="C13" i="4" s="1"/>
  <c r="I12" i="2"/>
  <c r="Q10" i="2"/>
  <c r="Q10" i="9" s="1"/>
  <c r="I10" i="2"/>
  <c r="S5" i="2"/>
  <c r="S10" i="2" s="1"/>
  <c r="R5" i="2"/>
  <c r="R10" i="2" s="1"/>
  <c r="Q5" i="2"/>
  <c r="P5" i="2"/>
  <c r="P10" i="2" s="1"/>
  <c r="O5" i="2"/>
  <c r="O10" i="2" s="1"/>
  <c r="N5" i="2"/>
  <c r="N10" i="2" s="1"/>
  <c r="M5" i="2"/>
  <c r="M10" i="2" s="1"/>
  <c r="L5" i="2"/>
  <c r="L10" i="2" s="1"/>
  <c r="K5" i="2"/>
  <c r="K10" i="2" s="1"/>
  <c r="J5" i="2"/>
  <c r="J10" i="2" s="1"/>
  <c r="I5" i="2"/>
  <c r="H5" i="2"/>
  <c r="H10" i="2" s="1"/>
  <c r="G5" i="2"/>
  <c r="G10" i="2" s="1"/>
  <c r="F5" i="2"/>
  <c r="F10" i="2" s="1"/>
  <c r="E5" i="2"/>
  <c r="E10" i="2" s="1"/>
  <c r="D5" i="2"/>
  <c r="D10" i="2" s="1"/>
  <c r="N23" i="1"/>
  <c r="E23" i="1"/>
  <c r="D15" i="1"/>
  <c r="F15" i="1" s="1"/>
  <c r="F14" i="1"/>
  <c r="A3" i="1"/>
  <c r="F18" i="1" l="1"/>
  <c r="E4" i="9"/>
  <c r="E12" i="2"/>
  <c r="E10" i="9"/>
  <c r="M10" i="9"/>
  <c r="M4" i="9"/>
  <c r="M12" i="2"/>
  <c r="F10" i="9"/>
  <c r="F4" i="9"/>
  <c r="F12" i="2"/>
  <c r="I5" i="9"/>
  <c r="J17" i="6"/>
  <c r="D10" i="10"/>
  <c r="E16" i="6"/>
  <c r="G10" i="9"/>
  <c r="G4" i="9"/>
  <c r="G12" i="2"/>
  <c r="K10" i="9"/>
  <c r="K4" i="9"/>
  <c r="K12" i="2"/>
  <c r="O10" i="9"/>
  <c r="O4" i="9"/>
  <c r="O12" i="2"/>
  <c r="S10" i="9"/>
  <c r="S4" i="9"/>
  <c r="S12" i="2"/>
  <c r="Q12" i="2"/>
  <c r="Q4" i="9"/>
  <c r="Q11" i="9"/>
  <c r="B8" i="4"/>
  <c r="D38" i="2"/>
  <c r="C8" i="4" s="1"/>
  <c r="D10" i="9"/>
  <c r="D4" i="9"/>
  <c r="D12" i="2"/>
  <c r="H10" i="9"/>
  <c r="H4" i="9"/>
  <c r="H12" i="2"/>
  <c r="L10" i="9"/>
  <c r="L4" i="9"/>
  <c r="L12" i="2"/>
  <c r="P4" i="9"/>
  <c r="P10" i="9"/>
  <c r="P12" i="2"/>
  <c r="I10" i="9"/>
  <c r="I4" i="9"/>
  <c r="C12" i="4"/>
  <c r="D42" i="2"/>
  <c r="F9" i="7"/>
  <c r="N9" i="7"/>
  <c r="J4" i="9"/>
  <c r="J10" i="9"/>
  <c r="J12" i="2"/>
  <c r="N10" i="9"/>
  <c r="N4" i="9"/>
  <c r="N12" i="2"/>
  <c r="R10" i="9"/>
  <c r="R4" i="9"/>
  <c r="R12" i="2"/>
  <c r="B14" i="4"/>
  <c r="E12" i="8"/>
  <c r="D8" i="9"/>
  <c r="D14" i="8"/>
  <c r="D15" i="8" s="1"/>
  <c r="D16" i="8" s="1"/>
  <c r="D17" i="8" s="1"/>
  <c r="B6" i="3" s="1"/>
  <c r="D62" i="2"/>
  <c r="C14" i="4" s="1"/>
  <c r="D63" i="2"/>
  <c r="B16" i="4"/>
  <c r="D64" i="2"/>
  <c r="E14" i="6"/>
  <c r="B7" i="7" s="1"/>
  <c r="D5" i="9" l="1"/>
  <c r="E17" i="6"/>
  <c r="D13" i="2"/>
  <c r="H17" i="6"/>
  <c r="G5" i="9"/>
  <c r="M5" i="9"/>
  <c r="N17" i="6"/>
  <c r="H5" i="9"/>
  <c r="I17" i="6"/>
  <c r="S11" i="9"/>
  <c r="K5" i="9"/>
  <c r="L17" i="6"/>
  <c r="E19" i="6"/>
  <c r="E20" i="6" s="1"/>
  <c r="F11" i="9"/>
  <c r="F25" i="9" s="1"/>
  <c r="F26" i="9" s="1"/>
  <c r="D5" i="3" s="1"/>
  <c r="C15" i="4"/>
  <c r="P11" i="9"/>
  <c r="O11" i="9"/>
  <c r="N11" i="9"/>
  <c r="R11" i="9"/>
  <c r="J5" i="9"/>
  <c r="K17" i="6"/>
  <c r="C11" i="4"/>
  <c r="C17" i="4" s="1"/>
  <c r="D45" i="2"/>
  <c r="I11" i="9"/>
  <c r="L5" i="9"/>
  <c r="M17" i="6"/>
  <c r="D11" i="9"/>
  <c r="D25" i="9" s="1"/>
  <c r="D26" i="9" s="1"/>
  <c r="B5" i="3" s="1"/>
  <c r="E18" i="6"/>
  <c r="R17" i="6"/>
  <c r="Q5" i="9"/>
  <c r="O5" i="9"/>
  <c r="P17" i="6"/>
  <c r="G11" i="9"/>
  <c r="M11" i="9"/>
  <c r="R5" i="9"/>
  <c r="S17" i="6"/>
  <c r="L11" i="9"/>
  <c r="E5" i="9"/>
  <c r="F17" i="6"/>
  <c r="C16" i="4"/>
  <c r="C18" i="4" s="1"/>
  <c r="F12" i="8"/>
  <c r="N5" i="9"/>
  <c r="O17" i="6"/>
  <c r="J11" i="9"/>
  <c r="D47" i="2"/>
  <c r="D49" i="2" s="1"/>
  <c r="Q17" i="6"/>
  <c r="P5" i="9"/>
  <c r="H11" i="9"/>
  <c r="S5" i="9"/>
  <c r="T17" i="6"/>
  <c r="K11" i="9"/>
  <c r="F5" i="9"/>
  <c r="G17" i="6"/>
  <c r="E11" i="9"/>
  <c r="E25" i="9" s="1"/>
  <c r="E26" i="9" s="1"/>
  <c r="C5" i="3" s="1"/>
  <c r="F18" i="6"/>
  <c r="G18" i="6" s="1"/>
  <c r="D66" i="2" l="1"/>
  <c r="B8" i="7"/>
  <c r="B11" i="7" s="1"/>
  <c r="B12" i="7" s="1"/>
  <c r="E31" i="6"/>
  <c r="E32" i="6" s="1"/>
  <c r="B4" i="3" s="1"/>
  <c r="B8" i="3" s="1"/>
  <c r="B4" i="1" s="1"/>
  <c r="D6" i="9"/>
  <c r="E13" i="2"/>
  <c r="E15" i="2"/>
  <c r="G12" i="8"/>
  <c r="B7" i="3"/>
  <c r="D48" i="2"/>
  <c r="D50" i="2" s="1"/>
  <c r="D46" i="2"/>
  <c r="D65" i="2"/>
  <c r="D69" i="2" s="1"/>
  <c r="D70" i="2" s="1"/>
  <c r="H12" i="8" l="1"/>
  <c r="E7" i="9"/>
  <c r="E22" i="2"/>
  <c r="D5" i="4" s="1"/>
  <c r="E16" i="2"/>
  <c r="F13" i="6"/>
  <c r="E23" i="2"/>
  <c r="D6" i="4" s="1"/>
  <c r="E6" i="9"/>
  <c r="F13" i="2"/>
  <c r="F15" i="2"/>
  <c r="D7" i="10"/>
  <c r="B3" i="1"/>
  <c r="F7" i="9" l="1"/>
  <c r="G13" i="6"/>
  <c r="F23" i="2"/>
  <c r="E6" i="4" s="1"/>
  <c r="F22" i="2"/>
  <c r="E5" i="4" s="1"/>
  <c r="F6" i="9"/>
  <c r="G13" i="2"/>
  <c r="G15" i="2"/>
  <c r="F15" i="6"/>
  <c r="F31" i="6" s="1"/>
  <c r="F32" i="6" s="1"/>
  <c r="C4" i="3" s="1"/>
  <c r="F14" i="6"/>
  <c r="I12" i="8"/>
  <c r="B5" i="1"/>
  <c r="E14" i="8"/>
  <c r="E15" i="8" s="1"/>
  <c r="E16" i="8" s="1"/>
  <c r="E17" i="8" s="1"/>
  <c r="C6" i="3" s="1"/>
  <c r="E63" i="2"/>
  <c r="E8" i="9"/>
  <c r="E61" i="2"/>
  <c r="D13" i="4" s="1"/>
  <c r="E41" i="2"/>
  <c r="E38" i="2"/>
  <c r="D8" i="4" s="1"/>
  <c r="F16" i="2"/>
  <c r="E64" i="2"/>
  <c r="E37" i="2"/>
  <c r="D7" i="4" s="1"/>
  <c r="E36" i="2"/>
  <c r="E62" i="2"/>
  <c r="D14" i="4" s="1"/>
  <c r="D15" i="4" l="1"/>
  <c r="G7" i="9"/>
  <c r="G12" i="9" s="1"/>
  <c r="G13" i="9" s="1"/>
  <c r="H13" i="6"/>
  <c r="G23" i="2"/>
  <c r="F6" i="4" s="1"/>
  <c r="G22" i="2"/>
  <c r="F5" i="4" s="1"/>
  <c r="F8" i="9"/>
  <c r="F61" i="2"/>
  <c r="E13" i="4" s="1"/>
  <c r="F41" i="2"/>
  <c r="F38" i="2"/>
  <c r="E8" i="4" s="1"/>
  <c r="F14" i="8"/>
  <c r="F15" i="8" s="1"/>
  <c r="F16" i="8" s="1"/>
  <c r="F17" i="8" s="1"/>
  <c r="D6" i="3" s="1"/>
  <c r="F37" i="2"/>
  <c r="E7" i="4" s="1"/>
  <c r="F36" i="2"/>
  <c r="G16" i="2"/>
  <c r="F64" i="2"/>
  <c r="F63" i="2"/>
  <c r="F62" i="2"/>
  <c r="E14" i="4" s="1"/>
  <c r="E43" i="2"/>
  <c r="E42" i="2"/>
  <c r="J12" i="8"/>
  <c r="G6" i="9"/>
  <c r="H15" i="2"/>
  <c r="H13" i="2"/>
  <c r="G15" i="6"/>
  <c r="G14" i="6"/>
  <c r="D7" i="7" s="1"/>
  <c r="D11" i="7" s="1"/>
  <c r="D12" i="7" s="1"/>
  <c r="E10" i="10"/>
  <c r="F16" i="6"/>
  <c r="F19" i="6" s="1"/>
  <c r="D16" i="4"/>
  <c r="C7" i="7"/>
  <c r="C11" i="7" s="1"/>
  <c r="C12" i="7" s="1"/>
  <c r="F10" i="10" l="1"/>
  <c r="G16" i="6"/>
  <c r="G19" i="6" s="1"/>
  <c r="F43" i="2"/>
  <c r="F42" i="2"/>
  <c r="G31" i="6"/>
  <c r="G32" i="6" s="1"/>
  <c r="D4" i="3" s="1"/>
  <c r="H6" i="9"/>
  <c r="I15" i="2"/>
  <c r="I13" i="2"/>
  <c r="K12" i="8"/>
  <c r="E15" i="4"/>
  <c r="H7" i="9"/>
  <c r="H12" i="9" s="1"/>
  <c r="H13" i="9" s="1"/>
  <c r="I13" i="6"/>
  <c r="H22" i="2"/>
  <c r="G5" i="4" s="1"/>
  <c r="H23" i="2"/>
  <c r="G6" i="4" s="1"/>
  <c r="D11" i="4"/>
  <c r="D17" i="4" s="1"/>
  <c r="D19" i="4" s="1"/>
  <c r="E45" i="2"/>
  <c r="E16" i="4"/>
  <c r="H15" i="6"/>
  <c r="H14" i="6"/>
  <c r="D12" i="4"/>
  <c r="D18" i="4" s="1"/>
  <c r="E47" i="2"/>
  <c r="G8" i="9"/>
  <c r="G14" i="9" s="1"/>
  <c r="G14" i="8"/>
  <c r="G15" i="8" s="1"/>
  <c r="G16" i="8" s="1"/>
  <c r="G17" i="8" s="1"/>
  <c r="E6" i="3" s="1"/>
  <c r="G37" i="2"/>
  <c r="F7" i="4" s="1"/>
  <c r="G36" i="2"/>
  <c r="H16" i="2"/>
  <c r="G64" i="2"/>
  <c r="G62" i="2"/>
  <c r="F14" i="4" s="1"/>
  <c r="G61" i="2"/>
  <c r="F13" i="4" s="1"/>
  <c r="G41" i="2"/>
  <c r="G38" i="2"/>
  <c r="F8" i="4" s="1"/>
  <c r="G63" i="2"/>
  <c r="H31" i="6" l="1"/>
  <c r="H32" i="6" s="1"/>
  <c r="E4" i="3" s="1"/>
  <c r="E12" i="4"/>
  <c r="E18" i="4" s="1"/>
  <c r="F47" i="2"/>
  <c r="G10" i="10"/>
  <c r="H16" i="6"/>
  <c r="L12" i="8"/>
  <c r="G16" i="9"/>
  <c r="G17" i="9" s="1"/>
  <c r="G15" i="9"/>
  <c r="H18" i="6"/>
  <c r="E49" i="2"/>
  <c r="E66" i="2"/>
  <c r="F15" i="4"/>
  <c r="I6" i="9"/>
  <c r="J13" i="2"/>
  <c r="J15" i="2"/>
  <c r="G43" i="2"/>
  <c r="G42" i="2"/>
  <c r="H8" i="9"/>
  <c r="H14" i="9" s="1"/>
  <c r="H14" i="8"/>
  <c r="H15" i="8" s="1"/>
  <c r="H16" i="8" s="1"/>
  <c r="H17" i="8" s="1"/>
  <c r="F6" i="3" s="1"/>
  <c r="H63" i="2"/>
  <c r="H61" i="2"/>
  <c r="G13" i="4" s="1"/>
  <c r="H41" i="2"/>
  <c r="H38" i="2"/>
  <c r="G8" i="4" s="1"/>
  <c r="H37" i="2"/>
  <c r="G7" i="4" s="1"/>
  <c r="H36" i="2"/>
  <c r="I16" i="2"/>
  <c r="H62" i="2"/>
  <c r="G14" i="4" s="1"/>
  <c r="H64" i="2"/>
  <c r="F16" i="4"/>
  <c r="E7" i="7"/>
  <c r="E11" i="7" s="1"/>
  <c r="E12" i="7" s="1"/>
  <c r="C7" i="3"/>
  <c r="C8" i="3" s="1"/>
  <c r="C4" i="1" s="1"/>
  <c r="E48" i="2"/>
  <c r="E50" i="2" s="1"/>
  <c r="E46" i="2"/>
  <c r="E65" i="2"/>
  <c r="I15" i="6"/>
  <c r="I14" i="6"/>
  <c r="F7" i="7" s="1"/>
  <c r="J13" i="6"/>
  <c r="I23" i="2"/>
  <c r="H6" i="4" s="1"/>
  <c r="I7" i="9"/>
  <c r="I12" i="9" s="1"/>
  <c r="I13" i="9" s="1"/>
  <c r="I22" i="2"/>
  <c r="H5" i="4" s="1"/>
  <c r="E11" i="4"/>
  <c r="E17" i="4" s="1"/>
  <c r="F45" i="2"/>
  <c r="E19" i="4" l="1"/>
  <c r="G25" i="9"/>
  <c r="G26" i="9" s="1"/>
  <c r="E5" i="3" s="1"/>
  <c r="F11" i="4"/>
  <c r="F17" i="4" s="1"/>
  <c r="G45" i="2"/>
  <c r="E7" i="10"/>
  <c r="C3" i="1"/>
  <c r="J15" i="6"/>
  <c r="J31" i="6" s="1"/>
  <c r="J32" i="6" s="1"/>
  <c r="G4" i="3" s="1"/>
  <c r="J14" i="6"/>
  <c r="I8" i="9"/>
  <c r="I14" i="9" s="1"/>
  <c r="I14" i="8"/>
  <c r="I15" i="8" s="1"/>
  <c r="I16" i="8" s="1"/>
  <c r="I17" i="8" s="1"/>
  <c r="G6" i="3" s="1"/>
  <c r="I63" i="2"/>
  <c r="I61" i="2"/>
  <c r="H13" i="4" s="1"/>
  <c r="I41" i="2"/>
  <c r="I38" i="2"/>
  <c r="H8" i="4" s="1"/>
  <c r="I37" i="2"/>
  <c r="H7" i="4" s="1"/>
  <c r="I36" i="2"/>
  <c r="J16" i="2"/>
  <c r="I64" i="2"/>
  <c r="I62" i="2"/>
  <c r="H14" i="4" s="1"/>
  <c r="H43" i="2"/>
  <c r="H42" i="2"/>
  <c r="H16" i="9"/>
  <c r="H17" i="9" s="1"/>
  <c r="H15" i="9"/>
  <c r="I18" i="6"/>
  <c r="K13" i="2"/>
  <c r="K15" i="2"/>
  <c r="J6" i="9"/>
  <c r="F49" i="2"/>
  <c r="F66" i="2"/>
  <c r="G16" i="4"/>
  <c r="G15" i="4"/>
  <c r="F12" i="4"/>
  <c r="F18" i="4" s="1"/>
  <c r="G47" i="2"/>
  <c r="H19" i="6"/>
  <c r="H10" i="10"/>
  <c r="I16" i="6"/>
  <c r="I19" i="6" s="1"/>
  <c r="I20" i="6" s="1"/>
  <c r="F48" i="2"/>
  <c r="F50" i="2" s="1"/>
  <c r="F46" i="2"/>
  <c r="D7" i="3"/>
  <c r="D8" i="3" s="1"/>
  <c r="D4" i="1" s="1"/>
  <c r="F65" i="2"/>
  <c r="E69" i="2"/>
  <c r="E70" i="2" s="1"/>
  <c r="J7" i="9"/>
  <c r="J12" i="9" s="1"/>
  <c r="J13" i="9" s="1"/>
  <c r="J23" i="2"/>
  <c r="I6" i="4" s="1"/>
  <c r="K13" i="6"/>
  <c r="J22" i="2"/>
  <c r="I5" i="4" s="1"/>
  <c r="M12" i="8"/>
  <c r="H25" i="9" l="1"/>
  <c r="H26" i="9" s="1"/>
  <c r="F5" i="3" s="1"/>
  <c r="K7" i="9"/>
  <c r="K12" i="9" s="1"/>
  <c r="K13" i="9" s="1"/>
  <c r="L13" i="6"/>
  <c r="K23" i="2"/>
  <c r="J6" i="4" s="1"/>
  <c r="K22" i="2"/>
  <c r="J5" i="4" s="1"/>
  <c r="K15" i="6"/>
  <c r="K14" i="6"/>
  <c r="H7" i="7" s="1"/>
  <c r="H11" i="7" s="1"/>
  <c r="H12" i="7" s="1"/>
  <c r="F69" i="2"/>
  <c r="F70" i="2" s="1"/>
  <c r="F8" i="7"/>
  <c r="F11" i="7" s="1"/>
  <c r="F12" i="7" s="1"/>
  <c r="I31" i="6"/>
  <c r="I32" i="6" s="1"/>
  <c r="F4" i="3" s="1"/>
  <c r="F8" i="3" s="1"/>
  <c r="G4" i="1" s="1"/>
  <c r="F7" i="10"/>
  <c r="D3" i="1"/>
  <c r="D5" i="1" s="1"/>
  <c r="K6" i="9"/>
  <c r="L15" i="2"/>
  <c r="L13" i="2"/>
  <c r="G11" i="4"/>
  <c r="G17" i="4" s="1"/>
  <c r="H45" i="2"/>
  <c r="J14" i="8"/>
  <c r="J15" i="8" s="1"/>
  <c r="J16" i="8" s="1"/>
  <c r="J17" i="8" s="1"/>
  <c r="H6" i="3" s="1"/>
  <c r="J8" i="9"/>
  <c r="J14" i="9" s="1"/>
  <c r="J61" i="2"/>
  <c r="I13" i="4" s="1"/>
  <c r="J63" i="2"/>
  <c r="J41" i="2"/>
  <c r="J38" i="2"/>
  <c r="I8" i="4" s="1"/>
  <c r="J37" i="2"/>
  <c r="I7" i="4" s="1"/>
  <c r="J36" i="2"/>
  <c r="K16" i="2"/>
  <c r="J64" i="2"/>
  <c r="J62" i="2"/>
  <c r="I14" i="4" s="1"/>
  <c r="I43" i="2"/>
  <c r="I42" i="2"/>
  <c r="I16" i="9"/>
  <c r="I17" i="9" s="1"/>
  <c r="I25" i="9" s="1"/>
  <c r="I26" i="9" s="1"/>
  <c r="G5" i="3" s="1"/>
  <c r="G8" i="3" s="1"/>
  <c r="H4" i="1" s="1"/>
  <c r="I15" i="9"/>
  <c r="J18" i="6"/>
  <c r="C5" i="1"/>
  <c r="G49" i="2"/>
  <c r="G66" i="2"/>
  <c r="N12" i="8"/>
  <c r="G12" i="4"/>
  <c r="G18" i="4" s="1"/>
  <c r="H47" i="2"/>
  <c r="I10" i="10"/>
  <c r="J16" i="6"/>
  <c r="J19" i="6" s="1"/>
  <c r="G7" i="7"/>
  <c r="G11" i="7" s="1"/>
  <c r="G12" i="7" s="1"/>
  <c r="H15" i="4"/>
  <c r="E7" i="3"/>
  <c r="E8" i="3" s="1"/>
  <c r="E4" i="1" s="1"/>
  <c r="F4" i="1" s="1"/>
  <c r="G48" i="2"/>
  <c r="G46" i="2"/>
  <c r="G65" i="2"/>
  <c r="G69" i="2" s="1"/>
  <c r="G70" i="2" s="1"/>
  <c r="H16" i="4"/>
  <c r="F19" i="4"/>
  <c r="G50" i="2" l="1"/>
  <c r="G51" i="2" s="1"/>
  <c r="G7" i="10"/>
  <c r="E3" i="1"/>
  <c r="I47" i="2"/>
  <c r="H12" i="4"/>
  <c r="H18" i="4" s="1"/>
  <c r="J10" i="10"/>
  <c r="K16" i="6"/>
  <c r="I15" i="4"/>
  <c r="H48" i="2"/>
  <c r="H46" i="2"/>
  <c r="H65" i="2"/>
  <c r="H69" i="2" s="1"/>
  <c r="H70" i="2" s="1"/>
  <c r="G19" i="4"/>
  <c r="I16" i="4"/>
  <c r="J16" i="9"/>
  <c r="J17" i="9" s="1"/>
  <c r="J15" i="9"/>
  <c r="K18" i="6"/>
  <c r="L6" i="9"/>
  <c r="M13" i="2"/>
  <c r="M15" i="2"/>
  <c r="L15" i="6"/>
  <c r="L14" i="6"/>
  <c r="H49" i="2"/>
  <c r="H66" i="2"/>
  <c r="O12" i="8"/>
  <c r="I45" i="2"/>
  <c r="H11" i="4"/>
  <c r="H17" i="4" s="1"/>
  <c r="H19" i="4" s="1"/>
  <c r="K8" i="9"/>
  <c r="K14" i="9" s="1"/>
  <c r="K14" i="8"/>
  <c r="K15" i="8" s="1"/>
  <c r="K16" i="8" s="1"/>
  <c r="K17" i="8" s="1"/>
  <c r="I6" i="3" s="1"/>
  <c r="K61" i="2"/>
  <c r="J13" i="4" s="1"/>
  <c r="K37" i="2"/>
  <c r="J7" i="4" s="1"/>
  <c r="K36" i="2"/>
  <c r="L16" i="2"/>
  <c r="K62" i="2"/>
  <c r="J14" i="4" s="1"/>
  <c r="K64" i="2"/>
  <c r="K63" i="2"/>
  <c r="K38" i="2"/>
  <c r="J8" i="4" s="1"/>
  <c r="K41" i="2"/>
  <c r="J43" i="2"/>
  <c r="J42" i="2"/>
  <c r="L7" i="9"/>
  <c r="L12" i="9" s="1"/>
  <c r="L13" i="9" s="1"/>
  <c r="M13" i="6"/>
  <c r="L22" i="2"/>
  <c r="K5" i="4" s="1"/>
  <c r="L23" i="2"/>
  <c r="K6" i="4" s="1"/>
  <c r="K31" i="6"/>
  <c r="K32" i="6" s="1"/>
  <c r="H4" i="3" s="1"/>
  <c r="L31" i="6" l="1"/>
  <c r="L32" i="6" s="1"/>
  <c r="I4" i="3" s="1"/>
  <c r="J25" i="9"/>
  <c r="J26" i="9" s="1"/>
  <c r="H5" i="3" s="1"/>
  <c r="H8" i="3" s="1"/>
  <c r="I4" i="1" s="1"/>
  <c r="I12" i="4"/>
  <c r="I18" i="4" s="1"/>
  <c r="J47" i="2"/>
  <c r="J16" i="4"/>
  <c r="P12" i="8"/>
  <c r="I49" i="2"/>
  <c r="I66" i="2"/>
  <c r="M15" i="6"/>
  <c r="M14" i="6"/>
  <c r="K42" i="2"/>
  <c r="K43" i="2"/>
  <c r="I48" i="2"/>
  <c r="I50" i="2" s="1"/>
  <c r="I46" i="2"/>
  <c r="I65" i="2"/>
  <c r="H7" i="10"/>
  <c r="G3" i="1"/>
  <c r="N13" i="6"/>
  <c r="M22" i="2"/>
  <c r="L5" i="4" s="1"/>
  <c r="M7" i="9"/>
  <c r="M12" i="9" s="1"/>
  <c r="M13" i="9" s="1"/>
  <c r="M23" i="2"/>
  <c r="L6" i="4" s="1"/>
  <c r="K19" i="6"/>
  <c r="E5" i="1"/>
  <c r="F5" i="1" s="1"/>
  <c r="F6" i="1" s="1"/>
  <c r="F8" i="1" s="1"/>
  <c r="D24" i="1" s="1"/>
  <c r="F3" i="1"/>
  <c r="M6" i="9"/>
  <c r="N13" i="2"/>
  <c r="N15" i="2"/>
  <c r="H50" i="2"/>
  <c r="L8" i="9"/>
  <c r="L14" i="9" s="1"/>
  <c r="L14" i="8"/>
  <c r="L15" i="8" s="1"/>
  <c r="L16" i="8" s="1"/>
  <c r="L17" i="8" s="1"/>
  <c r="J6" i="3" s="1"/>
  <c r="L63" i="2"/>
  <c r="M16" i="2"/>
  <c r="L41" i="2"/>
  <c r="L38" i="2"/>
  <c r="K8" i="4" s="1"/>
  <c r="L37" i="2"/>
  <c r="K7" i="4" s="1"/>
  <c r="L61" i="2"/>
  <c r="K13" i="4" s="1"/>
  <c r="L62" i="2"/>
  <c r="K14" i="4" s="1"/>
  <c r="L36" i="2"/>
  <c r="L64" i="2"/>
  <c r="I11" i="4"/>
  <c r="I17" i="4" s="1"/>
  <c r="I19" i="4" s="1"/>
  <c r="J45" i="2"/>
  <c r="J15" i="4"/>
  <c r="K10" i="10"/>
  <c r="L16" i="6"/>
  <c r="K16" i="9"/>
  <c r="K17" i="9" s="1"/>
  <c r="K15" i="9"/>
  <c r="L18" i="6"/>
  <c r="I7" i="7"/>
  <c r="I11" i="7" s="1"/>
  <c r="I12" i="7" s="1"/>
  <c r="K25" i="9" l="1"/>
  <c r="K26" i="9" s="1"/>
  <c r="I5" i="3" s="1"/>
  <c r="I8" i="3" s="1"/>
  <c r="J4" i="1" s="1"/>
  <c r="K4" i="1" s="1"/>
  <c r="I69" i="2"/>
  <c r="I70" i="2" s="1"/>
  <c r="M8" i="9"/>
  <c r="M14" i="9" s="1"/>
  <c r="M63" i="2"/>
  <c r="M14" i="8"/>
  <c r="M15" i="8" s="1"/>
  <c r="M16" i="8" s="1"/>
  <c r="M17" i="8" s="1"/>
  <c r="K6" i="3" s="1"/>
  <c r="M64" i="2"/>
  <c r="M41" i="2"/>
  <c r="M38" i="2"/>
  <c r="L8" i="4" s="1"/>
  <c r="N16" i="2"/>
  <c r="M61" i="2"/>
  <c r="L13" i="4" s="1"/>
  <c r="M37" i="2"/>
  <c r="L7" i="4" s="1"/>
  <c r="M36" i="2"/>
  <c r="M62" i="2"/>
  <c r="L14" i="4" s="1"/>
  <c r="J12" i="4"/>
  <c r="J18" i="4" s="1"/>
  <c r="K47" i="2"/>
  <c r="I7" i="10"/>
  <c r="H3" i="1"/>
  <c r="K16" i="4"/>
  <c r="K15" i="4"/>
  <c r="N7" i="9"/>
  <c r="N12" i="9" s="1"/>
  <c r="N13" i="9" s="1"/>
  <c r="O13" i="6"/>
  <c r="N23" i="2"/>
  <c r="M6" i="4" s="1"/>
  <c r="N22" i="2"/>
  <c r="M5" i="4" s="1"/>
  <c r="E24" i="1"/>
  <c r="F24" i="1" s="1"/>
  <c r="M24" i="1"/>
  <c r="N24" i="1" s="1"/>
  <c r="J11" i="4"/>
  <c r="J17" i="4" s="1"/>
  <c r="J19" i="4" s="1"/>
  <c r="K45" i="2"/>
  <c r="L19" i="6"/>
  <c r="J48" i="2"/>
  <c r="J46" i="2"/>
  <c r="J65" i="2"/>
  <c r="J69" i="2" s="1"/>
  <c r="J70" i="2" s="1"/>
  <c r="L10" i="10"/>
  <c r="M16" i="6"/>
  <c r="N6" i="9"/>
  <c r="O13" i="2"/>
  <c r="O15" i="2"/>
  <c r="N15" i="6"/>
  <c r="N14" i="6"/>
  <c r="J7" i="7"/>
  <c r="L43" i="2"/>
  <c r="L42" i="2"/>
  <c r="L16" i="9"/>
  <c r="L17" i="9" s="1"/>
  <c r="L15" i="9"/>
  <c r="M18" i="6"/>
  <c r="G5" i="1"/>
  <c r="Q12" i="8"/>
  <c r="J49" i="2"/>
  <c r="J66" i="2"/>
  <c r="J7" i="10" l="1"/>
  <c r="I3" i="1"/>
  <c r="O6" i="9"/>
  <c r="P15" i="2"/>
  <c r="P13" i="2"/>
  <c r="K46" i="2"/>
  <c r="K48" i="2"/>
  <c r="K65" i="2"/>
  <c r="R12" i="8"/>
  <c r="L45" i="2"/>
  <c r="K11" i="4"/>
  <c r="K17" i="4" s="1"/>
  <c r="M19" i="6"/>
  <c r="M20" i="6" s="1"/>
  <c r="J50" i="2"/>
  <c r="N8" i="9"/>
  <c r="N14" i="9" s="1"/>
  <c r="N14" i="8"/>
  <c r="N15" i="8" s="1"/>
  <c r="N16" i="8" s="1"/>
  <c r="N17" i="8" s="1"/>
  <c r="L6" i="3" s="1"/>
  <c r="N61" i="2"/>
  <c r="M13" i="4" s="1"/>
  <c r="N41" i="2"/>
  <c r="N38" i="2"/>
  <c r="M8" i="4" s="1"/>
  <c r="N63" i="2"/>
  <c r="N37" i="2"/>
  <c r="M7" i="4" s="1"/>
  <c r="N36" i="2"/>
  <c r="O16" i="2"/>
  <c r="N62" i="2"/>
  <c r="M14" i="4" s="1"/>
  <c r="N64" i="2"/>
  <c r="L47" i="2"/>
  <c r="K12" i="4"/>
  <c r="K18" i="4" s="1"/>
  <c r="O7" i="9"/>
  <c r="O12" i="9" s="1"/>
  <c r="O13" i="9" s="1"/>
  <c r="P13" i="6"/>
  <c r="O23" i="2"/>
  <c r="N6" i="4" s="1"/>
  <c r="O22" i="2"/>
  <c r="N5" i="4" s="1"/>
  <c r="O15" i="6"/>
  <c r="O14" i="6"/>
  <c r="L7" i="7" s="1"/>
  <c r="K49" i="2"/>
  <c r="K66" i="2"/>
  <c r="M10" i="10"/>
  <c r="N16" i="6"/>
  <c r="N19" i="6" s="1"/>
  <c r="N20" i="6" s="1"/>
  <c r="L15" i="4"/>
  <c r="M43" i="2"/>
  <c r="M42" i="2"/>
  <c r="M16" i="9"/>
  <c r="M17" i="9" s="1"/>
  <c r="M15" i="9"/>
  <c r="N18" i="6"/>
  <c r="L25" i="9"/>
  <c r="L26" i="9" s="1"/>
  <c r="J5" i="3" s="1"/>
  <c r="K7" i="7"/>
  <c r="H5" i="1"/>
  <c r="F23" i="1"/>
  <c r="L16" i="4"/>
  <c r="K7" i="10" l="1"/>
  <c r="J3" i="1"/>
  <c r="J5" i="1" s="1"/>
  <c r="K8" i="7"/>
  <c r="K11" i="7" s="1"/>
  <c r="K12" i="7" s="1"/>
  <c r="N31" i="6"/>
  <c r="N32" i="6" s="1"/>
  <c r="K4" i="3" s="1"/>
  <c r="L49" i="2"/>
  <c r="L66" i="2"/>
  <c r="N10" i="10"/>
  <c r="O16" i="6"/>
  <c r="N43" i="2"/>
  <c r="N42" i="2"/>
  <c r="L48" i="2"/>
  <c r="L50" i="2" s="1"/>
  <c r="L46" i="2"/>
  <c r="L65" i="2"/>
  <c r="K50" i="2"/>
  <c r="L11" i="4"/>
  <c r="L17" i="4" s="1"/>
  <c r="M45" i="2"/>
  <c r="L12" i="4"/>
  <c r="L18" i="4" s="1"/>
  <c r="M47" i="2"/>
  <c r="P15" i="6"/>
  <c r="P14" i="6"/>
  <c r="M16" i="4"/>
  <c r="K51" i="2"/>
  <c r="S12" i="8"/>
  <c r="M15" i="4"/>
  <c r="J8" i="7"/>
  <c r="J11" i="7" s="1"/>
  <c r="J12" i="7" s="1"/>
  <c r="M31" i="6"/>
  <c r="M32" i="6" s="1"/>
  <c r="J4" i="3" s="1"/>
  <c r="J8" i="3" s="1"/>
  <c r="L4" i="1" s="1"/>
  <c r="Q15" i="2"/>
  <c r="P6" i="9"/>
  <c r="Q13" i="2"/>
  <c r="I5" i="1"/>
  <c r="K5" i="1" s="1"/>
  <c r="K6" i="1" s="1"/>
  <c r="K8" i="1" s="1"/>
  <c r="D25" i="1" s="1"/>
  <c r="K3" i="1"/>
  <c r="M25" i="9"/>
  <c r="M26" i="9" s="1"/>
  <c r="K5" i="3" s="1"/>
  <c r="O8" i="9"/>
  <c r="O14" i="9" s="1"/>
  <c r="O14" i="8"/>
  <c r="O15" i="8" s="1"/>
  <c r="O16" i="8" s="1"/>
  <c r="O17" i="8" s="1"/>
  <c r="M6" i="3" s="1"/>
  <c r="O63" i="2"/>
  <c r="O37" i="2"/>
  <c r="N7" i="4" s="1"/>
  <c r="O36" i="2"/>
  <c r="P16" i="2"/>
  <c r="O61" i="2"/>
  <c r="N13" i="4" s="1"/>
  <c r="O64" i="2"/>
  <c r="O41" i="2"/>
  <c r="O38" i="2"/>
  <c r="N8" i="4" s="1"/>
  <c r="O62" i="2"/>
  <c r="N14" i="4" s="1"/>
  <c r="N16" i="9"/>
  <c r="N17" i="9" s="1"/>
  <c r="N15" i="9"/>
  <c r="O18" i="6"/>
  <c r="K19" i="4"/>
  <c r="K69" i="2"/>
  <c r="K70" i="2" s="1"/>
  <c r="P7" i="9"/>
  <c r="P12" i="9" s="1"/>
  <c r="P13" i="9" s="1"/>
  <c r="Q13" i="6"/>
  <c r="P22" i="2"/>
  <c r="O5" i="4" s="1"/>
  <c r="P23" i="2"/>
  <c r="O6" i="4" s="1"/>
  <c r="M7" i="7" l="1"/>
  <c r="M25" i="1"/>
  <c r="N25" i="1" s="1"/>
  <c r="E25" i="1"/>
  <c r="F25" i="1" s="1"/>
  <c r="Q15" i="6"/>
  <c r="Q14" i="6"/>
  <c r="N7" i="7" s="1"/>
  <c r="P14" i="8"/>
  <c r="P15" i="8" s="1"/>
  <c r="P16" i="8" s="1"/>
  <c r="P17" i="8" s="1"/>
  <c r="N6" i="3" s="1"/>
  <c r="P61" i="2"/>
  <c r="O13" i="4" s="1"/>
  <c r="P63" i="2"/>
  <c r="P41" i="2"/>
  <c r="P38" i="2"/>
  <c r="O8" i="4" s="1"/>
  <c r="P37" i="2"/>
  <c r="O7" i="4" s="1"/>
  <c r="P36" i="2"/>
  <c r="P62" i="2"/>
  <c r="O14" i="4" s="1"/>
  <c r="P8" i="9"/>
  <c r="P14" i="9" s="1"/>
  <c r="Q16" i="2"/>
  <c r="P64" i="2"/>
  <c r="Q7" i="9"/>
  <c r="Q12" i="9" s="1"/>
  <c r="Q13" i="9" s="1"/>
  <c r="R13" i="6"/>
  <c r="Q23" i="2"/>
  <c r="P6" i="4" s="1"/>
  <c r="Q22" i="2"/>
  <c r="P5" i="4" s="1"/>
  <c r="M49" i="2"/>
  <c r="M66" i="2"/>
  <c r="O10" i="10"/>
  <c r="P16" i="6"/>
  <c r="P19" i="6" s="1"/>
  <c r="P20" i="6" s="1"/>
  <c r="O16" i="9"/>
  <c r="O17" i="9" s="1"/>
  <c r="O15" i="9"/>
  <c r="P18" i="6"/>
  <c r="M11" i="4"/>
  <c r="M17" i="4" s="1"/>
  <c r="N45" i="2"/>
  <c r="L7" i="10"/>
  <c r="L3" i="1"/>
  <c r="K8" i="3"/>
  <c r="M4" i="1" s="1"/>
  <c r="N25" i="9"/>
  <c r="N26" i="9" s="1"/>
  <c r="L5" i="3" s="1"/>
  <c r="N16" i="4"/>
  <c r="Q6" i="9"/>
  <c r="R13" i="2"/>
  <c r="R15" i="2"/>
  <c r="M48" i="2"/>
  <c r="M46" i="2"/>
  <c r="M65" i="2"/>
  <c r="L69" i="2"/>
  <c r="L70" i="2" s="1"/>
  <c r="M12" i="4"/>
  <c r="M18" i="4" s="1"/>
  <c r="N47" i="2"/>
  <c r="O43" i="2"/>
  <c r="O42" i="2"/>
  <c r="N15" i="4"/>
  <c r="L19" i="4"/>
  <c r="O19" i="6"/>
  <c r="O20" i="6" s="1"/>
  <c r="O25" i="9" l="1"/>
  <c r="O26" i="9" s="1"/>
  <c r="M5" i="3" s="1"/>
  <c r="M69" i="2"/>
  <c r="M70" i="2" s="1"/>
  <c r="M19" i="4"/>
  <c r="M7" i="10"/>
  <c r="M3" i="1"/>
  <c r="M5" i="1" s="1"/>
  <c r="R15" i="6"/>
  <c r="R14" i="6"/>
  <c r="P16" i="9"/>
  <c r="P17" i="9" s="1"/>
  <c r="P15" i="9"/>
  <c r="Q18" i="6"/>
  <c r="P43" i="2"/>
  <c r="P42" i="2"/>
  <c r="M8" i="7"/>
  <c r="M11" i="7" s="1"/>
  <c r="M12" i="7" s="1"/>
  <c r="P31" i="6"/>
  <c r="P32" i="6" s="1"/>
  <c r="M4" i="3" s="1"/>
  <c r="M8" i="3" s="1"/>
  <c r="O4" i="1" s="1"/>
  <c r="N49" i="2"/>
  <c r="N66" i="2"/>
  <c r="R7" i="9"/>
  <c r="R12" i="9" s="1"/>
  <c r="R13" i="9" s="1"/>
  <c r="R23" i="2"/>
  <c r="Q6" i="4" s="1"/>
  <c r="R22" i="2"/>
  <c r="Q5" i="4" s="1"/>
  <c r="S13" i="6"/>
  <c r="O16" i="4"/>
  <c r="P10" i="10"/>
  <c r="Q16" i="6"/>
  <c r="Q19" i="6" s="1"/>
  <c r="Q20" i="6" s="1"/>
  <c r="O15" i="4"/>
  <c r="N11" i="4"/>
  <c r="N17" i="4" s="1"/>
  <c r="O45" i="2"/>
  <c r="N12" i="4"/>
  <c r="N18" i="4" s="1"/>
  <c r="O47" i="2"/>
  <c r="L5" i="1"/>
  <c r="L8" i="7"/>
  <c r="L11" i="7" s="1"/>
  <c r="L12" i="7" s="1"/>
  <c r="O31" i="6"/>
  <c r="O32" i="6" s="1"/>
  <c r="L4" i="3" s="1"/>
  <c r="L8" i="3" s="1"/>
  <c r="N4" i="1" s="1"/>
  <c r="P4" i="1" s="1"/>
  <c r="M50" i="2"/>
  <c r="R6" i="9"/>
  <c r="S13" i="2"/>
  <c r="S6" i="9" s="1"/>
  <c r="S15" i="2"/>
  <c r="N48" i="2"/>
  <c r="N46" i="2"/>
  <c r="N65" i="2"/>
  <c r="N69" i="2" s="1"/>
  <c r="N70" i="2" s="1"/>
  <c r="Q8" i="9"/>
  <c r="Q14" i="9" s="1"/>
  <c r="Q63" i="2"/>
  <c r="Q41" i="2"/>
  <c r="Q38" i="2"/>
  <c r="P8" i="4" s="1"/>
  <c r="Q64" i="2"/>
  <c r="Q37" i="2"/>
  <c r="P7" i="4" s="1"/>
  <c r="Q36" i="2"/>
  <c r="Q14" i="8"/>
  <c r="Q15" i="8" s="1"/>
  <c r="Q16" i="8" s="1"/>
  <c r="Q17" i="8" s="1"/>
  <c r="O6" i="3" s="1"/>
  <c r="Q61" i="2"/>
  <c r="P13" i="4" s="1"/>
  <c r="R16" i="2"/>
  <c r="Q62" i="2"/>
  <c r="P14" i="4" s="1"/>
  <c r="N50" i="2" l="1"/>
  <c r="P25" i="9"/>
  <c r="P26" i="9" s="1"/>
  <c r="N5" i="3" s="1"/>
  <c r="Q10" i="10"/>
  <c r="R16" i="6"/>
  <c r="Q43" i="2"/>
  <c r="Q42" i="2"/>
  <c r="O11" i="4"/>
  <c r="O17" i="4" s="1"/>
  <c r="P45" i="2"/>
  <c r="R8" i="9"/>
  <c r="R14" i="9" s="1"/>
  <c r="R61" i="2"/>
  <c r="Q13" i="4" s="1"/>
  <c r="R14" i="8"/>
  <c r="R15" i="8" s="1"/>
  <c r="R16" i="8" s="1"/>
  <c r="R17" i="8" s="1"/>
  <c r="P6" i="3" s="1"/>
  <c r="R41" i="2"/>
  <c r="R38" i="2"/>
  <c r="Q8" i="4" s="1"/>
  <c r="R64" i="2"/>
  <c r="R37" i="2"/>
  <c r="Q7" i="4" s="1"/>
  <c r="R36" i="2"/>
  <c r="S16" i="2"/>
  <c r="R62" i="2"/>
  <c r="Q14" i="4" s="1"/>
  <c r="R63" i="2"/>
  <c r="P15" i="4"/>
  <c r="O48" i="2"/>
  <c r="O46" i="2"/>
  <c r="O65" i="2"/>
  <c r="N8" i="7"/>
  <c r="N11" i="7" s="1"/>
  <c r="N12" i="7" s="1"/>
  <c r="Q31" i="6"/>
  <c r="Q32" i="6" s="1"/>
  <c r="N4" i="3" s="1"/>
  <c r="O12" i="4"/>
  <c r="O18" i="4" s="1"/>
  <c r="P47" i="2"/>
  <c r="P16" i="4"/>
  <c r="Q16" i="9"/>
  <c r="Q17" i="9" s="1"/>
  <c r="Q15" i="9"/>
  <c r="R18" i="6"/>
  <c r="N19" i="4"/>
  <c r="S15" i="6"/>
  <c r="S14" i="6"/>
  <c r="P7" i="7" s="1"/>
  <c r="N7" i="10"/>
  <c r="N3" i="1"/>
  <c r="O7" i="7"/>
  <c r="T13" i="6"/>
  <c r="S23" i="2"/>
  <c r="R6" i="4" s="1"/>
  <c r="S7" i="9"/>
  <c r="S12" i="9" s="1"/>
  <c r="S13" i="9" s="1"/>
  <c r="S22" i="2"/>
  <c r="R5" i="4" s="1"/>
  <c r="O49" i="2"/>
  <c r="O66" i="2"/>
  <c r="Q25" i="9" l="1"/>
  <c r="Q26" i="9" s="1"/>
  <c r="O5" i="3" s="1"/>
  <c r="N8" i="3"/>
  <c r="Q4" i="1" s="1"/>
  <c r="Q15" i="4"/>
  <c r="O19" i="4"/>
  <c r="R19" i="6"/>
  <c r="R20" i="6" s="1"/>
  <c r="O7" i="10"/>
  <c r="O3" i="1"/>
  <c r="O5" i="1" s="1"/>
  <c r="O50" i="2"/>
  <c r="O51" i="2" s="1"/>
  <c r="Q16" i="4"/>
  <c r="T15" i="6"/>
  <c r="T14" i="6"/>
  <c r="Q7" i="7" s="1"/>
  <c r="S8" i="9"/>
  <c r="S14" i="9" s="1"/>
  <c r="S14" i="8"/>
  <c r="S15" i="8" s="1"/>
  <c r="S16" i="8" s="1"/>
  <c r="S17" i="8" s="1"/>
  <c r="Q6" i="3" s="1"/>
  <c r="S37" i="2"/>
  <c r="R7" i="4" s="1"/>
  <c r="S36" i="2"/>
  <c r="S63" i="2"/>
  <c r="S61" i="2"/>
  <c r="R13" i="4" s="1"/>
  <c r="S38" i="2"/>
  <c r="R8" i="4" s="1"/>
  <c r="S41" i="2"/>
  <c r="S64" i="2"/>
  <c r="S62" i="2"/>
  <c r="R14" i="4" s="1"/>
  <c r="R16" i="9"/>
  <c r="R17" i="9" s="1"/>
  <c r="R15" i="9"/>
  <c r="S18" i="6"/>
  <c r="Q45" i="2"/>
  <c r="P11" i="4"/>
  <c r="P17" i="4" s="1"/>
  <c r="N5" i="1"/>
  <c r="P5" i="1" s="1"/>
  <c r="P6" i="1" s="1"/>
  <c r="P3" i="1"/>
  <c r="P49" i="2"/>
  <c r="P66" i="2"/>
  <c r="O69" i="2"/>
  <c r="O70" i="2" s="1"/>
  <c r="R10" i="10"/>
  <c r="S16" i="6"/>
  <c r="R43" i="2"/>
  <c r="R42" i="2"/>
  <c r="P48" i="2"/>
  <c r="P50" i="2" s="1"/>
  <c r="P46" i="2"/>
  <c r="P65" i="2"/>
  <c r="Q47" i="2"/>
  <c r="P12" i="4"/>
  <c r="P18" i="4" s="1"/>
  <c r="R25" i="9" l="1"/>
  <c r="R26" i="9" s="1"/>
  <c r="P5" i="3" s="1"/>
  <c r="S19" i="6"/>
  <c r="S20" i="6" s="1"/>
  <c r="P19" i="4"/>
  <c r="Q11" i="4"/>
  <c r="Q17" i="4" s="1"/>
  <c r="R45" i="2"/>
  <c r="P8" i="7"/>
  <c r="P11" i="7" s="1"/>
  <c r="P12" i="7" s="1"/>
  <c r="S31" i="6"/>
  <c r="S32" i="6" s="1"/>
  <c r="P4" i="3" s="1"/>
  <c r="P8" i="3" s="1"/>
  <c r="S4" i="1" s="1"/>
  <c r="S42" i="2"/>
  <c r="S43" i="2"/>
  <c r="S10" i="10"/>
  <c r="T16" i="6"/>
  <c r="P7" i="1"/>
  <c r="P8" i="1" s="1"/>
  <c r="Q48" i="2"/>
  <c r="Q46" i="2"/>
  <c r="Q65" i="2"/>
  <c r="R31" i="6"/>
  <c r="R32" i="6" s="1"/>
  <c r="O4" i="3" s="1"/>
  <c r="O8" i="3" s="1"/>
  <c r="R4" i="1" s="1"/>
  <c r="O8" i="7"/>
  <c r="O11" i="7" s="1"/>
  <c r="O12" i="7" s="1"/>
  <c r="Q49" i="2"/>
  <c r="Q66" i="2"/>
  <c r="P69" i="2"/>
  <c r="P70" i="2" s="1"/>
  <c r="Q12" i="4"/>
  <c r="Q18" i="4" s="1"/>
  <c r="R47" i="2"/>
  <c r="P7" i="10"/>
  <c r="Q3" i="1"/>
  <c r="R16" i="4"/>
  <c r="R15" i="4"/>
  <c r="S16" i="9"/>
  <c r="S17" i="9" s="1"/>
  <c r="S25" i="9" s="1"/>
  <c r="S26" i="9" s="1"/>
  <c r="Q5" i="3" s="1"/>
  <c r="S15" i="9"/>
  <c r="T18" i="6"/>
  <c r="Q50" i="2" l="1"/>
  <c r="Q5" i="1"/>
  <c r="R49" i="2"/>
  <c r="R66" i="2"/>
  <c r="Q69" i="2"/>
  <c r="Q70" i="2" s="1"/>
  <c r="P9" i="1"/>
  <c r="G16" i="1" s="1"/>
  <c r="D26" i="1"/>
  <c r="R12" i="4"/>
  <c r="R18" i="4" s="1"/>
  <c r="S47" i="2"/>
  <c r="R48" i="2"/>
  <c r="R46" i="2"/>
  <c r="R65" i="2"/>
  <c r="R11" i="4"/>
  <c r="R17" i="4" s="1"/>
  <c r="R19" i="4" s="1"/>
  <c r="S45" i="2"/>
  <c r="Q19" i="4"/>
  <c r="T19" i="6"/>
  <c r="T20" i="6" s="1"/>
  <c r="Q7" i="10"/>
  <c r="R3" i="1"/>
  <c r="R5" i="1" s="1"/>
  <c r="R50" i="2" l="1"/>
  <c r="M26" i="1"/>
  <c r="N26" i="1" s="1"/>
  <c r="E26" i="1"/>
  <c r="F26" i="1" s="1"/>
  <c r="S48" i="2"/>
  <c r="S50" i="2" s="1"/>
  <c r="S46" i="2"/>
  <c r="S65" i="2"/>
  <c r="S69" i="2" s="1"/>
  <c r="S70" i="2" s="1"/>
  <c r="S49" i="2"/>
  <c r="S66" i="2"/>
  <c r="Q8" i="7"/>
  <c r="Q11" i="7" s="1"/>
  <c r="Q12" i="7" s="1"/>
  <c r="T31" i="6"/>
  <c r="T32" i="6" s="1"/>
  <c r="Q4" i="3" s="1"/>
  <c r="Q8" i="3" s="1"/>
  <c r="T4" i="1" s="1"/>
  <c r="U4" i="1" s="1"/>
  <c r="R69" i="2"/>
  <c r="R70" i="2" s="1"/>
  <c r="R7" i="10"/>
  <c r="S3" i="1"/>
  <c r="S5" i="1" s="1"/>
  <c r="S51" i="2" l="1"/>
  <c r="S7" i="10"/>
  <c r="T3" i="1"/>
  <c r="T5" i="1" s="1"/>
  <c r="U5" i="1" s="1"/>
  <c r="U3" i="1" l="1"/>
  <c r="U7" i="1"/>
  <c r="U8" i="1" s="1"/>
  <c r="U6" i="1"/>
  <c r="D27" i="1" l="1"/>
  <c r="U9" i="1"/>
  <c r="G17" i="1" s="1"/>
  <c r="G18" i="1" s="1"/>
  <c r="E27" i="1" l="1"/>
  <c r="F27" i="1" s="1"/>
  <c r="F28" i="1" s="1"/>
  <c r="M27" i="1"/>
  <c r="N27" i="1" s="1"/>
  <c r="N28" i="1" s="1"/>
</calcChain>
</file>

<file path=xl/sharedStrings.xml><?xml version="1.0" encoding="utf-8"?>
<sst xmlns="http://schemas.openxmlformats.org/spreadsheetml/2006/main" count="495" uniqueCount="254">
  <si>
    <t>Profit &amp; Loss</t>
  </si>
  <si>
    <t>Year 1</t>
  </si>
  <si>
    <t>Year 2</t>
  </si>
  <si>
    <t>Year 3</t>
  </si>
  <si>
    <t>Year 4</t>
  </si>
  <si>
    <t>Q1</t>
  </si>
  <si>
    <t>Q2</t>
  </si>
  <si>
    <t>Q3</t>
  </si>
  <si>
    <t>Q4</t>
  </si>
  <si>
    <t>EOY1</t>
  </si>
  <si>
    <t>EOY2</t>
  </si>
  <si>
    <t>EOY3</t>
  </si>
  <si>
    <t>EOY4</t>
  </si>
  <si>
    <t>TotalExpenses(Cr)</t>
  </si>
  <si>
    <t>Projected PBT</t>
  </si>
  <si>
    <t>Adjusted P/L after Set Off</t>
  </si>
  <si>
    <t>TAX</t>
  </si>
  <si>
    <t>PAT</t>
  </si>
  <si>
    <t>Share of Investor  ( Assuming 25%)</t>
  </si>
  <si>
    <t>CALCULATING RETURN ON INVESTMENT (SIMPLE INTERST METHOD )</t>
  </si>
  <si>
    <t>PERIOD</t>
  </si>
  <si>
    <t>INVESTMENT</t>
  </si>
  <si>
    <t>RATE OF RETURN</t>
  </si>
  <si>
    <t>RETURN ( SI )</t>
  </si>
  <si>
    <t>PROFIT SHARE ( AFTER SETTING OFF LOSSES )</t>
  </si>
  <si>
    <t>1ST YEAR</t>
  </si>
  <si>
    <t>2ND YEAR</t>
  </si>
  <si>
    <t>3RD YEAR</t>
  </si>
  <si>
    <t>4TH YEAR</t>
  </si>
  <si>
    <t>TOTAL PAYBACK ( ASSUMING 25% SHARE )</t>
  </si>
  <si>
    <t>Calculation of NPV</t>
  </si>
  <si>
    <t>Outflow</t>
  </si>
  <si>
    <t>Inflow</t>
  </si>
  <si>
    <t>Cash Flow</t>
  </si>
  <si>
    <t>Present Value</t>
  </si>
  <si>
    <t>Interest</t>
  </si>
  <si>
    <t>Total NPV</t>
  </si>
  <si>
    <t>Calculation of IRR</t>
  </si>
  <si>
    <t>IRR</t>
  </si>
  <si>
    <t>Master Worksheet Computing All Revenue Projection</t>
  </si>
  <si>
    <t>Comments</t>
  </si>
  <si>
    <t>Parameters</t>
  </si>
  <si>
    <t>Sales Team Deployment Plan</t>
  </si>
  <si>
    <t>Kolkata</t>
  </si>
  <si>
    <t>Bangalore</t>
  </si>
  <si>
    <t>NCR</t>
  </si>
  <si>
    <t>Chennai</t>
  </si>
  <si>
    <t>Mumbai</t>
  </si>
  <si>
    <t>Total Partner Acquisition Staff Count</t>
  </si>
  <si>
    <t>Partner Acquisition Staff Perf / Month</t>
  </si>
  <si>
    <t>Acquired Partner Count</t>
  </si>
  <si>
    <t>Cumulative Partner Counts</t>
  </si>
  <si>
    <t>Partner’s Yield/Month</t>
  </si>
  <si>
    <t>Acquired Client Count</t>
  </si>
  <si>
    <t>Cumulative Client Count</t>
  </si>
  <si>
    <t>Revenue Projections</t>
  </si>
  <si>
    <t>Revenue from Partner Onboarding for Company</t>
  </si>
  <si>
    <t>Revenue from Onboarding of Clients</t>
  </si>
  <si>
    <t>Revenue from  Onboarding/Store</t>
  </si>
  <si>
    <t>Total Revenue from  Onboarding</t>
  </si>
  <si>
    <t>To Partner</t>
  </si>
  <si>
    <t>To Company</t>
  </si>
  <si>
    <t>Revenue from Sales of Hardware</t>
  </si>
  <si>
    <t>Revenue from Sale of Hardware</t>
  </si>
  <si>
    <t>Printer</t>
  </si>
  <si>
    <t>POS</t>
  </si>
  <si>
    <t>WiFi Access Point</t>
  </si>
  <si>
    <t>Internet Connection</t>
  </si>
  <si>
    <t>Thermal Paper</t>
  </si>
  <si>
    <t>Security Camera</t>
  </si>
  <si>
    <t>AMC</t>
  </si>
  <si>
    <t>Total</t>
  </si>
  <si>
    <t>Revenue from Delivery</t>
  </si>
  <si>
    <t>Average # of Delivery/Day</t>
  </si>
  <si>
    <t>Revenue Per Delivery (3Km Max/10KG/Max)</t>
  </si>
  <si>
    <t>Number of Deliveriy Persons</t>
  </si>
  <si>
    <t>Revenue from Software Usage</t>
  </si>
  <si>
    <t>Average  Ticket Size of Delivery</t>
  </si>
  <si>
    <t>Delivery GMV</t>
  </si>
  <si>
    <t>Total Revenue of Ecosystem</t>
  </si>
  <si>
    <t>All Partners/Q</t>
  </si>
  <si>
    <t>Per Partner/Q</t>
  </si>
  <si>
    <t>Company</t>
  </si>
  <si>
    <t>Partner (Cr)</t>
  </si>
  <si>
    <t>Company (Cr)</t>
  </si>
  <si>
    <t>Total/Q (Cr)</t>
  </si>
  <si>
    <t>Total/Year (Cr)</t>
  </si>
  <si>
    <t xml:space="preserve">Phase 2 - Additional Revenue </t>
  </si>
  <si>
    <t>We propose increase profitability of Partner by helping them to migrate tp EV for  frothier Staffs. We have in advance stage of partnership with an EV Manufacturing Company  for enabling EMI scheme for our partners. EV will decrease the  delivery cost by 1 order allowing us to increase our share from delivery revenue</t>
  </si>
  <si>
    <t>Phase 3 - Additional Revenue</t>
  </si>
  <si>
    <t>To start with we focus on enabling just online ordering from local  business 99% of which does not have Inventory Software. So in phase 2 we start Value-Added Reselling of our core Inventory Software +POS  and this is where we start serious value generation</t>
  </si>
  <si>
    <t>Revenue from Core Software Sale</t>
  </si>
  <si>
    <t xml:space="preserve">% of Clients Adopting our POS </t>
  </si>
  <si>
    <t>% of POS Adopters Adopting our Inventory</t>
  </si>
  <si>
    <t>Revenue from POS/Client/Month</t>
  </si>
  <si>
    <t>Revenue from Inventory/Month/Client</t>
  </si>
  <si>
    <t>Revenue from POS Clients</t>
  </si>
  <si>
    <t>Revenue from Inventory/Client/Month</t>
  </si>
  <si>
    <t>Total Revenue After Phase 3 (Cr)</t>
  </si>
  <si>
    <t>Total Partners’ Revenue /Q (Cr)</t>
  </si>
  <si>
    <t>Revenue/Q/Partner  (L)</t>
  </si>
  <si>
    <t>Burn Rate</t>
  </si>
  <si>
    <t>Burn Rate /Quarter</t>
  </si>
  <si>
    <t>Marketing</t>
  </si>
  <si>
    <t>HR</t>
  </si>
  <si>
    <t>Software</t>
  </si>
  <si>
    <t>Revenue Loss</t>
  </si>
  <si>
    <t xml:space="preserve">Total Burn Rate (Cr) </t>
  </si>
  <si>
    <t>Revenue Projection Brief</t>
  </si>
  <si>
    <t>Revenue Streams (L)</t>
  </si>
  <si>
    <t>Split</t>
  </si>
  <si>
    <t>Company’s Revenue from Partner Onboarding</t>
  </si>
  <si>
    <t>Partner’s Revenue from Client Enrolment (L)</t>
  </si>
  <si>
    <t>Company’s Revenue from Client Enrolment (L)</t>
  </si>
  <si>
    <t>Partner’s Revenue from Delivery(L)</t>
  </si>
  <si>
    <t>Company’s Revenue from Delivery (L)</t>
  </si>
  <si>
    <t>Partner’s Revenue Hardware Sale(L)</t>
  </si>
  <si>
    <t>Company’s Revenue from Hardware Sale (L)</t>
  </si>
  <si>
    <t>Partner’s Revenue Software Usage Fees(L)</t>
  </si>
  <si>
    <t>Company’s Revenue from Usage Fees (L)</t>
  </si>
  <si>
    <t>Partner’s Revenue from Sale of PoS (L)</t>
  </si>
  <si>
    <t>Company’s Revenue from Sale of PoS (L)</t>
  </si>
  <si>
    <t>Partner’s Revenue from Sale of Inventory (L)</t>
  </si>
  <si>
    <t>Company’s Revenue from Sale of Inventory (L)</t>
  </si>
  <si>
    <t>Total Revenue  to Partners</t>
  </si>
  <si>
    <t>Total Revenue  to Company</t>
  </si>
  <si>
    <t>Partner:Company</t>
  </si>
  <si>
    <t>NA</t>
  </si>
  <si>
    <t>Partner Onboarding Scheme</t>
  </si>
  <si>
    <t>Partner Onboarding Session</t>
  </si>
  <si>
    <t>Partner Admission Tickets</t>
  </si>
  <si>
    <t>Includes Dinner/Alcohol</t>
  </si>
  <si>
    <t>Max Number of Tickets  /Session</t>
  </si>
  <si>
    <t>Collections from Tickets</t>
  </si>
  <si>
    <t>Zone on Auction/Every / Session</t>
  </si>
  <si>
    <t>Average Booking Price /Zip/Year</t>
  </si>
  <si>
    <t>Rural</t>
  </si>
  <si>
    <t>Reserve Price</t>
  </si>
  <si>
    <t>Urban</t>
  </si>
  <si>
    <t>Metro</t>
  </si>
  <si>
    <t>Marketing Cost Detailed</t>
  </si>
  <si>
    <t>Offline</t>
  </si>
  <si>
    <t>Slot/Size</t>
  </si>
  <si>
    <t>Rate</t>
  </si>
  <si>
    <t>Exposures/Day</t>
  </si>
  <si>
    <t>TV/Radio</t>
  </si>
  <si>
    <t>National/Regional</t>
  </si>
  <si>
    <t>10 Sec</t>
  </si>
  <si>
    <t>Cost</t>
  </si>
  <si>
    <t>News Paper</t>
  </si>
  <si>
    <t>Regional/National</t>
  </si>
  <si>
    <t>1/8 Page</t>
  </si>
  <si>
    <t>BTL</t>
  </si>
  <si>
    <t>Local News Paper Inserts</t>
  </si>
  <si>
    <t>A5</t>
  </si>
  <si>
    <t>Handouts in Marketplaces</t>
  </si>
  <si>
    <t>Apaprtments</t>
  </si>
  <si>
    <t>Signage</t>
  </si>
  <si>
    <t>Count</t>
  </si>
  <si>
    <t>Banners for every shop</t>
  </si>
  <si>
    <t>Electric Hangouts</t>
  </si>
  <si>
    <t>T-Shirts</t>
  </si>
  <si>
    <t>for Delivery New Boys</t>
  </si>
  <si>
    <t>Staff of Partners</t>
  </si>
  <si>
    <t>Our Sales &amp; Support STaff</t>
  </si>
  <si>
    <t>Total #</t>
  </si>
  <si>
    <t>T Shirt Cost</t>
  </si>
  <si>
    <t>Events</t>
  </si>
  <si>
    <t>Partner Onboarding Evnets</t>
  </si>
  <si>
    <t>Rate/Event</t>
  </si>
  <si>
    <t>Digital</t>
  </si>
  <si>
    <t>Facebook</t>
  </si>
  <si>
    <t>Google Ad Words</t>
  </si>
  <si>
    <t>YouTube</t>
  </si>
  <si>
    <t>Twitter</t>
  </si>
  <si>
    <t>Instagram</t>
  </si>
  <si>
    <t>Total Cost</t>
  </si>
  <si>
    <t>Total Cost (Cr)</t>
  </si>
  <si>
    <t>Marketing Cost Calculations Brief</t>
  </si>
  <si>
    <t>in Lakh</t>
  </si>
  <si>
    <t>Digital Marketing</t>
  </si>
  <si>
    <t xml:space="preserve">Total </t>
  </si>
  <si>
    <t>Total (Cr)</t>
  </si>
  <si>
    <t>Software Cost</t>
  </si>
  <si>
    <t>Source Code Ownership Transfer Fees to Yottolabs</t>
  </si>
  <si>
    <t>36 months lock-in</t>
  </si>
  <si>
    <t>Outsourced Customisation /Development to YL</t>
  </si>
  <si>
    <t>Server side</t>
  </si>
  <si>
    <t>App side</t>
  </si>
  <si>
    <t>Reports</t>
  </si>
  <si>
    <t>UIX</t>
  </si>
  <si>
    <t>Testing</t>
  </si>
  <si>
    <t>Total Dev/Eng Count</t>
  </si>
  <si>
    <t>Total Eng/Dev Cost to YL</t>
  </si>
  <si>
    <t>CTC/Q</t>
  </si>
  <si>
    <t xml:space="preserve">IP Royalty to YL </t>
  </si>
  <si>
    <t>Projected Deliveries/Q</t>
  </si>
  <si>
    <t>IP cost</t>
  </si>
  <si>
    <t>Per order cost</t>
  </si>
  <si>
    <t>Total Software Cost</t>
  </si>
  <si>
    <t>Total Software Cost (Cr)</t>
  </si>
  <si>
    <t>HR Cost</t>
  </si>
  <si>
    <t>Partner Acquisition Team Count</t>
  </si>
  <si>
    <t>HR Costs</t>
  </si>
  <si>
    <t>Partner Acquisition Team</t>
  </si>
  <si>
    <t>Central Onboarding &amp; Technical Team</t>
  </si>
  <si>
    <t>Onsite Technical Support Team</t>
  </si>
  <si>
    <t>Managers for Onsite Tech Support Team</t>
  </si>
  <si>
    <t>Regional Head</t>
  </si>
  <si>
    <t>Marketing  Guru</t>
  </si>
  <si>
    <t>Management</t>
  </si>
  <si>
    <t>CMO</t>
  </si>
  <si>
    <t>CSS</t>
  </si>
  <si>
    <t>CEO</t>
  </si>
  <si>
    <t>Total HR Cost</t>
  </si>
  <si>
    <t>Total HR Cost (Cr)</t>
  </si>
  <si>
    <t>Other Small Recurrent Costs</t>
  </si>
  <si>
    <t>HR Agency</t>
  </si>
  <si>
    <t>Counted in CTC</t>
  </si>
  <si>
    <t>Accounting Agency</t>
  </si>
  <si>
    <t>Legal Agency</t>
  </si>
  <si>
    <t>Server Hosting Charges</t>
  </si>
  <si>
    <t>0.05% of Revene</t>
  </si>
  <si>
    <t>Google Map/Location/Push Charges</t>
  </si>
  <si>
    <t>Payment Gateway</t>
  </si>
  <si>
    <t>Offset</t>
  </si>
  <si>
    <t>SMS Gateway</t>
  </si>
  <si>
    <t>SMS Cost</t>
  </si>
  <si>
    <t>Roles</t>
  </si>
  <si>
    <t>Description</t>
  </si>
  <si>
    <t>Partner Enrolment Team</t>
  </si>
  <si>
    <t xml:space="preserve">Enrols Partner who then acquire Clients on behalf of the Company. This is the most crucial role in making this success and to start with they must be compensated well. </t>
  </si>
  <si>
    <t>Partner Onbaording &amp; Training Team</t>
  </si>
  <si>
    <t xml:space="preserve">For training and Certification of Partners not just 1st time but on an annual basis. </t>
  </si>
  <si>
    <t xml:space="preserve">Onsite Technical Support Team </t>
  </si>
  <si>
    <t xml:space="preserve">Though most of the technical support will be done from Central Client Support Team, some of the hardware and Internet issues or day to day training issues of Clients and partners needs in person interaction from this team. </t>
  </si>
  <si>
    <t>Managers for Sales/PE Teams</t>
  </si>
  <si>
    <t>These are common managers to manage complete sales operations as well as respective onboarding team.</t>
  </si>
  <si>
    <t>Regional Heads</t>
  </si>
  <si>
    <t xml:space="preserve">Every Region will be headed by a Regional Head under whom regional sales and regional onboarding team will work. Large Clients/Partners engagement as well as escalation management is key contribution. All hiring &amp; firing in that region is sole responsibility of this person. </t>
  </si>
  <si>
    <t>Central Onboarding Team + 24/7 Technical Support Team</t>
  </si>
  <si>
    <t>As the onsite onboarding team collects data and also do some of the quick installation process, the central team is responsible for server instance creation after making sure all payments are collected and rate card for each Clients are created/attached correctly.</t>
  </si>
  <si>
    <t>Managers for Central OB+Tech team</t>
  </si>
  <si>
    <t>These are common Managers for COB Team and 24/7 Team</t>
  </si>
  <si>
    <t>Digital Marketing Guru</t>
  </si>
  <si>
    <t xml:space="preserve">Responsible for running complete Digital Marketing Initiative. Might use 3rd Party Agencies. </t>
  </si>
  <si>
    <t>Physical Marketing Guru</t>
  </si>
  <si>
    <t>Accounts Managers</t>
  </si>
  <si>
    <t>Will responsible for managing 3rd Party Accounting Team &amp; Handling of Escalation. Will be responsible for Payment Gateway relationship and Bank relationship</t>
  </si>
  <si>
    <t xml:space="preserve">HR Manager </t>
  </si>
  <si>
    <t>Will responsible for managing 3rd party Staffing &amp; HR Agency  &amp; handling of HR Escalation</t>
  </si>
  <si>
    <t>Chief Client Success</t>
  </si>
  <si>
    <t>Chief Marketing Officer</t>
  </si>
  <si>
    <t>Chief Executive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</si>
</sst>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0.00&quot; &quot;;\([$$-409]#,##0.00\)"/>
    <numFmt numFmtId="165" formatCode="&quot; &quot;* #,##0.00&quot; &quot;;&quot; &quot;* \(#,##0.00\);&quot; &quot;* &quot;-&quot;??&quot; &quot;"/>
    <numFmt numFmtId="166" formatCode="0.0%"/>
  </numFmts>
  <fonts count="18">
    <font>
      <sz val="10"/>
      <color indexed="8"/>
      <name val="Helvetica Neue"/>
    </font>
    <font>
      <sz val="12"/>
      <color indexed="8"/>
      <name val="Helvetica Neue"/>
    </font>
    <font>
      <sz val="13"/>
      <color indexed="8"/>
      <name val="Helvetica Neue"/>
    </font>
    <font>
      <b/>
      <sz val="13"/>
      <color indexed="9"/>
      <name val="Helvetica Neue"/>
    </font>
    <font>
      <b/>
      <sz val="12"/>
      <color indexed="9"/>
      <name val="Helvetica Neue"/>
    </font>
    <font>
      <b/>
      <sz val="10"/>
      <color indexed="8"/>
      <name val="Helvetica Neue"/>
    </font>
    <font>
      <b/>
      <sz val="7"/>
      <color indexed="9"/>
      <name val="Helvetica Neue"/>
    </font>
    <font>
      <sz val="11"/>
      <color indexed="8"/>
      <name val="Helvetica Neue"/>
    </font>
    <font>
      <b/>
      <sz val="14"/>
      <color indexed="9"/>
      <name val="Helvetica Neue"/>
    </font>
    <font>
      <b/>
      <sz val="14"/>
      <color indexed="8"/>
      <name val="Helvetica Neue"/>
    </font>
    <font>
      <b/>
      <sz val="8"/>
      <color indexed="8"/>
      <name val="Helvetica Neue"/>
    </font>
    <font>
      <b/>
      <sz val="11"/>
      <color indexed="8"/>
      <name val="Helvetica Neue"/>
    </font>
    <font>
      <b/>
      <sz val="16"/>
      <color indexed="8"/>
      <name val="Helvetica Neue"/>
    </font>
    <font>
      <b/>
      <sz val="15"/>
      <color indexed="8"/>
      <name val="Helvetica Neue"/>
    </font>
    <font>
      <sz val="8"/>
      <color indexed="8"/>
      <name val="Helvetica Neue"/>
    </font>
    <font>
      <b/>
      <sz val="10"/>
      <color indexed="9"/>
      <name val="Helvetica Neue"/>
    </font>
    <font>
      <sz val="10"/>
      <color indexed="9"/>
      <name val="Helvetica Neue"/>
    </font>
    <font>
      <b/>
      <sz val="12"/>
      <color indexed="8"/>
      <name val="Helvetica Neue"/>
    </font>
  </fonts>
  <fills count="20">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s>
  <borders count="129">
    <border>
      <left/>
      <right/>
      <top/>
      <bottom/>
      <diagonal/>
    </border>
    <border>
      <left style="thin">
        <color indexed="8"/>
      </left>
      <right style="thin">
        <color indexed="8"/>
      </right>
      <top style="thin">
        <color indexed="8"/>
      </top>
      <bottom style="thin">
        <color indexed="8"/>
      </bottom>
      <diagonal/>
    </border>
    <border>
      <left style="thin">
        <color indexed="17"/>
      </left>
      <right/>
      <top style="thin">
        <color indexed="8"/>
      </top>
      <bottom/>
      <diagonal/>
    </border>
    <border>
      <left/>
      <right/>
      <top style="thin">
        <color indexed="8"/>
      </top>
      <bottom/>
      <diagonal/>
    </border>
    <border>
      <left/>
      <right style="thin">
        <color indexed="17"/>
      </right>
      <top style="thin">
        <color indexed="8"/>
      </top>
      <bottom/>
      <diagonal/>
    </border>
    <border>
      <left style="thin">
        <color indexed="17"/>
      </left>
      <right/>
      <top/>
      <bottom style="thick">
        <color indexed="8"/>
      </bottom>
      <diagonal/>
    </border>
    <border>
      <left/>
      <right/>
      <top/>
      <bottom style="thick">
        <color indexed="8"/>
      </bottom>
      <diagonal/>
    </border>
    <border>
      <left/>
      <right/>
      <top/>
      <bottom/>
      <diagonal/>
    </border>
    <border>
      <left/>
      <right style="thin">
        <color indexed="17"/>
      </right>
      <top/>
      <bottom/>
      <diagonal/>
    </border>
    <border>
      <left style="thick">
        <color indexed="8"/>
      </left>
      <right/>
      <top style="thick">
        <color indexed="8"/>
      </top>
      <bottom style="medium">
        <color indexed="8"/>
      </bottom>
      <diagonal/>
    </border>
    <border>
      <left/>
      <right/>
      <top style="thick">
        <color indexed="8"/>
      </top>
      <bottom style="medium">
        <color indexed="8"/>
      </bottom>
      <diagonal/>
    </border>
    <border>
      <left/>
      <right style="thick">
        <color indexed="8"/>
      </right>
      <top style="thick">
        <color indexed="8"/>
      </top>
      <bottom style="medium">
        <color indexed="8"/>
      </bottom>
      <diagonal/>
    </border>
    <border>
      <left style="thick">
        <color indexed="8"/>
      </left>
      <right/>
      <top/>
      <bottom/>
      <diagonal/>
    </border>
    <border>
      <left style="thick">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style="medium">
        <color indexed="8"/>
      </right>
      <top style="medium">
        <color indexed="8"/>
      </top>
      <bottom style="thick">
        <color indexed="8"/>
      </bottom>
      <diagonal/>
    </border>
    <border>
      <left style="medium">
        <color indexed="8"/>
      </left>
      <right/>
      <top style="medium">
        <color indexed="8"/>
      </top>
      <bottom style="thick">
        <color indexed="8"/>
      </bottom>
      <diagonal/>
    </border>
    <border>
      <left/>
      <right style="medium">
        <color indexed="8"/>
      </right>
      <top style="medium">
        <color indexed="8"/>
      </top>
      <bottom style="thick">
        <color indexed="8"/>
      </bottom>
      <diagonal/>
    </border>
    <border>
      <left style="medium">
        <color indexed="8"/>
      </left>
      <right style="medium">
        <color indexed="8"/>
      </right>
      <top style="medium">
        <color indexed="8"/>
      </top>
      <bottom style="thick">
        <color indexed="8"/>
      </bottom>
      <diagonal/>
    </border>
    <border>
      <left/>
      <right style="thick">
        <color indexed="8"/>
      </right>
      <top style="medium">
        <color indexed="8"/>
      </top>
      <bottom style="thick">
        <color indexed="8"/>
      </bottom>
      <diagonal/>
    </border>
    <border>
      <left/>
      <right/>
      <top style="thick">
        <color indexed="8"/>
      </top>
      <bottom/>
      <diagonal/>
    </border>
    <border>
      <left/>
      <right/>
      <top/>
      <bottom/>
      <diagonal/>
    </border>
    <border>
      <left/>
      <right/>
      <top/>
      <bottom/>
      <diagonal/>
    </border>
    <border>
      <left/>
      <right/>
      <top/>
      <bottom/>
      <diagonal/>
    </border>
    <border>
      <left style="thin">
        <color indexed="17"/>
      </left>
      <right/>
      <top/>
      <bottom/>
      <diagonal/>
    </border>
    <border>
      <left style="thin">
        <color indexed="17"/>
      </left>
      <right style="thick">
        <color indexed="8"/>
      </right>
      <top/>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top style="thick">
        <color indexed="8"/>
      </top>
      <bottom/>
      <diagonal/>
    </border>
    <border>
      <left/>
      <right/>
      <top/>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bottom/>
      <diagonal/>
    </border>
    <border>
      <left style="thin">
        <color indexed="17"/>
      </left>
      <right/>
      <top/>
      <bottom style="thin">
        <color indexed="17"/>
      </bottom>
      <diagonal/>
    </border>
    <border>
      <left/>
      <right/>
      <top/>
      <bottom style="thin">
        <color indexed="17"/>
      </bottom>
      <diagonal/>
    </border>
    <border>
      <left/>
      <right style="thin">
        <color indexed="17"/>
      </right>
      <top/>
      <bottom style="thin">
        <color indexed="17"/>
      </bottom>
      <diagonal/>
    </border>
    <border>
      <left style="thin">
        <color indexed="17"/>
      </left>
      <right/>
      <top style="thin">
        <color indexed="17"/>
      </top>
      <bottom style="thin">
        <color indexed="20"/>
      </bottom>
      <diagonal/>
    </border>
    <border>
      <left/>
      <right/>
      <top style="thin">
        <color indexed="17"/>
      </top>
      <bottom style="thin">
        <color indexed="20"/>
      </bottom>
      <diagonal/>
    </border>
    <border>
      <left/>
      <right/>
      <top style="thin">
        <color indexed="17"/>
      </top>
      <bottom style="medium">
        <color indexed="8"/>
      </bottom>
      <diagonal/>
    </border>
    <border>
      <left/>
      <right style="thin">
        <color indexed="17"/>
      </right>
      <top style="thin">
        <color indexed="17"/>
      </top>
      <bottom style="thin">
        <color indexed="20"/>
      </bottom>
      <diagonal/>
    </border>
    <border>
      <left style="thin">
        <color indexed="20"/>
      </left>
      <right style="thin">
        <color indexed="20"/>
      </right>
      <top style="thin">
        <color indexed="20"/>
      </top>
      <bottom style="thin">
        <color indexed="20"/>
      </bottom>
      <diagonal/>
    </border>
    <border>
      <left style="thin">
        <color indexed="20"/>
      </left>
      <right style="medium">
        <color indexed="8"/>
      </right>
      <top style="thin">
        <color indexed="20"/>
      </top>
      <bottom style="thin">
        <color indexed="20"/>
      </bottom>
      <diagonal/>
    </border>
    <border>
      <left style="medium">
        <color indexed="8"/>
      </left>
      <right/>
      <top style="medium">
        <color indexed="8"/>
      </top>
      <bottom style="thin">
        <color indexed="20"/>
      </bottom>
      <diagonal/>
    </border>
    <border>
      <left/>
      <right/>
      <top style="medium">
        <color indexed="8"/>
      </top>
      <bottom style="thin">
        <color indexed="20"/>
      </bottom>
      <diagonal/>
    </border>
    <border>
      <left/>
      <right style="medium">
        <color indexed="8"/>
      </right>
      <top style="medium">
        <color indexed="8"/>
      </top>
      <bottom style="thin">
        <color indexed="20"/>
      </bottom>
      <diagonal/>
    </border>
    <border>
      <left style="medium">
        <color indexed="8"/>
      </left>
      <right/>
      <top style="thin">
        <color indexed="20"/>
      </top>
      <bottom style="thin">
        <color indexed="20"/>
      </bottom>
      <diagonal/>
    </border>
    <border>
      <left/>
      <right/>
      <top style="thin">
        <color indexed="20"/>
      </top>
      <bottom style="thin">
        <color indexed="20"/>
      </bottom>
      <diagonal/>
    </border>
    <border>
      <left/>
      <right style="medium">
        <color indexed="8"/>
      </right>
      <top style="thin">
        <color indexed="20"/>
      </top>
      <bottom style="thin">
        <color indexed="20"/>
      </bottom>
      <diagonal/>
    </border>
    <border>
      <left/>
      <right style="thin">
        <color indexed="20"/>
      </right>
      <top style="thin">
        <color indexed="20"/>
      </top>
      <bottom style="thin">
        <color indexed="20"/>
      </bottom>
      <diagonal/>
    </border>
    <border>
      <left style="thin">
        <color indexed="20"/>
      </left>
      <right style="thin">
        <color indexed="20"/>
      </right>
      <top style="thin">
        <color indexed="20"/>
      </top>
      <bottom style="thin">
        <color indexed="23"/>
      </bottom>
      <diagonal/>
    </border>
    <border>
      <left style="thin">
        <color indexed="20"/>
      </left>
      <right style="medium">
        <color indexed="8"/>
      </right>
      <top style="thin">
        <color indexed="20"/>
      </top>
      <bottom style="thin">
        <color indexed="23"/>
      </bottom>
      <diagonal/>
    </border>
    <border>
      <left style="medium">
        <color indexed="8"/>
      </left>
      <right style="thin">
        <color indexed="20"/>
      </right>
      <top style="thin">
        <color indexed="20"/>
      </top>
      <bottom style="thin">
        <color indexed="23"/>
      </bottom>
      <diagonal/>
    </border>
    <border>
      <left style="thin">
        <color indexed="20"/>
      </left>
      <right style="thin">
        <color indexed="23"/>
      </right>
      <top style="thin">
        <color indexed="23"/>
      </top>
      <bottom style="thin">
        <color indexed="20"/>
      </bottom>
      <diagonal/>
    </border>
    <border>
      <left style="thin">
        <color indexed="23"/>
      </left>
      <right style="thin">
        <color indexed="20"/>
      </right>
      <top style="thin">
        <color indexed="23"/>
      </top>
      <bottom style="thin">
        <color indexed="20"/>
      </bottom>
      <diagonal/>
    </border>
    <border>
      <left style="thin">
        <color indexed="20"/>
      </left>
      <right style="medium">
        <color indexed="8"/>
      </right>
      <top style="thin">
        <color indexed="23"/>
      </top>
      <bottom style="thin">
        <color indexed="20"/>
      </bottom>
      <diagonal/>
    </border>
    <border>
      <left style="medium">
        <color indexed="8"/>
      </left>
      <right style="thin">
        <color indexed="20"/>
      </right>
      <top style="thin">
        <color indexed="23"/>
      </top>
      <bottom style="thin">
        <color indexed="20"/>
      </bottom>
      <diagonal/>
    </border>
    <border>
      <left style="thin">
        <color indexed="20"/>
      </left>
      <right style="thin">
        <color indexed="20"/>
      </right>
      <top style="thin">
        <color indexed="23"/>
      </top>
      <bottom style="thin">
        <color indexed="20"/>
      </bottom>
      <diagonal/>
    </border>
    <border>
      <left style="thin">
        <color indexed="20"/>
      </left>
      <right style="thin">
        <color indexed="23"/>
      </right>
      <top style="thin">
        <color indexed="20"/>
      </top>
      <bottom style="thin">
        <color indexed="20"/>
      </bottom>
      <diagonal/>
    </border>
    <border>
      <left style="thin">
        <color indexed="23"/>
      </left>
      <right style="thin">
        <color indexed="20"/>
      </right>
      <top style="thin">
        <color indexed="20"/>
      </top>
      <bottom style="thin">
        <color indexed="20"/>
      </bottom>
      <diagonal/>
    </border>
    <border>
      <left style="medium">
        <color indexed="8"/>
      </left>
      <right style="thin">
        <color indexed="20"/>
      </right>
      <top style="thin">
        <color indexed="20"/>
      </top>
      <bottom style="thin">
        <color indexed="20"/>
      </bottom>
      <diagonal/>
    </border>
    <border>
      <left style="thin">
        <color indexed="20"/>
      </left>
      <right style="thin">
        <color indexed="23"/>
      </right>
      <top style="thin">
        <color indexed="20"/>
      </top>
      <bottom/>
      <diagonal/>
    </border>
    <border>
      <left style="thin">
        <color indexed="20"/>
      </left>
      <right style="thin">
        <color indexed="23"/>
      </right>
      <top/>
      <bottom style="thin">
        <color indexed="20"/>
      </bottom>
      <diagonal/>
    </border>
    <border>
      <left style="thin">
        <color indexed="20"/>
      </left>
      <right style="thin">
        <color indexed="23"/>
      </right>
      <top/>
      <bottom/>
      <diagonal/>
    </border>
    <border>
      <left style="thin">
        <color indexed="23"/>
      </left>
      <right/>
      <top style="thin">
        <color indexed="20"/>
      </top>
      <bottom style="thin">
        <color indexed="20"/>
      </bottom>
      <diagonal/>
    </border>
    <border>
      <left style="thin">
        <color indexed="23"/>
      </left>
      <right/>
      <top style="thin">
        <color indexed="20"/>
      </top>
      <bottom/>
      <diagonal/>
    </border>
    <border>
      <left/>
      <right style="medium">
        <color indexed="8"/>
      </right>
      <top style="thin">
        <color indexed="20"/>
      </top>
      <bottom/>
      <diagonal/>
    </border>
    <border>
      <left style="medium">
        <color indexed="8"/>
      </left>
      <right style="thin">
        <color indexed="20"/>
      </right>
      <top style="thin">
        <color indexed="20"/>
      </top>
      <bottom/>
      <diagonal/>
    </border>
    <border>
      <left style="thin">
        <color indexed="20"/>
      </left>
      <right style="thin">
        <color indexed="20"/>
      </right>
      <top style="thin">
        <color indexed="20"/>
      </top>
      <bottom/>
      <diagonal/>
    </border>
    <border>
      <left style="thin">
        <color indexed="20"/>
      </left>
      <right style="medium">
        <color indexed="8"/>
      </right>
      <top style="thin">
        <color indexed="20"/>
      </top>
      <bottom/>
      <diagonal/>
    </border>
    <border>
      <left style="thin">
        <color indexed="20"/>
      </left>
      <right/>
      <top style="thin">
        <color indexed="20"/>
      </top>
      <bottom style="thin">
        <color indexed="20"/>
      </bottom>
      <diagonal/>
    </border>
    <border>
      <left style="thin">
        <color indexed="23"/>
      </left>
      <right/>
      <top/>
      <bottom style="thin">
        <color indexed="20"/>
      </bottom>
      <diagonal/>
    </border>
    <border>
      <left/>
      <right style="medium">
        <color indexed="8"/>
      </right>
      <top/>
      <bottom style="thin">
        <color indexed="20"/>
      </bottom>
      <diagonal/>
    </border>
    <border>
      <left style="medium">
        <color indexed="8"/>
      </left>
      <right style="thin">
        <color indexed="20"/>
      </right>
      <top/>
      <bottom style="thin">
        <color indexed="20"/>
      </bottom>
      <diagonal/>
    </border>
    <border>
      <left style="thin">
        <color indexed="20"/>
      </left>
      <right style="thin">
        <color indexed="20"/>
      </right>
      <top/>
      <bottom style="thin">
        <color indexed="20"/>
      </bottom>
      <diagonal/>
    </border>
    <border>
      <left style="thin">
        <color indexed="20"/>
      </left>
      <right style="medium">
        <color indexed="8"/>
      </right>
      <top/>
      <bottom style="thin">
        <color indexed="20"/>
      </bottom>
      <diagonal/>
    </border>
    <border>
      <left style="medium">
        <color indexed="8"/>
      </left>
      <right style="thin">
        <color indexed="20"/>
      </right>
      <top style="thin">
        <color indexed="20"/>
      </top>
      <bottom style="medium">
        <color indexed="8"/>
      </bottom>
      <diagonal/>
    </border>
    <border>
      <left style="thin">
        <color indexed="20"/>
      </left>
      <right style="thin">
        <color indexed="20"/>
      </right>
      <top style="thin">
        <color indexed="20"/>
      </top>
      <bottom style="medium">
        <color indexed="8"/>
      </bottom>
      <diagonal/>
    </border>
    <border>
      <left style="thin">
        <color indexed="20"/>
      </left>
      <right style="medium">
        <color indexed="8"/>
      </right>
      <top style="thin">
        <color indexed="20"/>
      </top>
      <bottom style="medium">
        <color indexed="8"/>
      </bottom>
      <diagonal/>
    </border>
    <border>
      <left/>
      <right style="thin">
        <color indexed="17"/>
      </right>
      <top style="thin">
        <color indexed="17"/>
      </top>
      <bottom style="medium">
        <color indexed="8"/>
      </bottom>
      <diagonal/>
    </border>
    <border>
      <left style="thin">
        <color indexed="20"/>
      </left>
      <right/>
      <top style="thin">
        <color indexed="20"/>
      </top>
      <bottom style="thin">
        <color indexed="23"/>
      </bottom>
      <diagonal/>
    </border>
    <border>
      <left/>
      <right/>
      <top style="thin">
        <color indexed="20"/>
      </top>
      <bottom style="thin">
        <color indexed="23"/>
      </bottom>
      <diagonal/>
    </border>
    <border>
      <left/>
      <right style="medium">
        <color indexed="8"/>
      </right>
      <top style="thin">
        <color indexed="20"/>
      </top>
      <bottom style="thin">
        <color indexed="23"/>
      </bottom>
      <diagonal/>
    </border>
    <border>
      <left style="medium">
        <color indexed="8"/>
      </left>
      <right/>
      <top style="medium">
        <color indexed="8"/>
      </top>
      <bottom style="thin">
        <color indexed="23"/>
      </bottom>
      <diagonal/>
    </border>
    <border>
      <left/>
      <right/>
      <top style="medium">
        <color indexed="8"/>
      </top>
      <bottom style="thin">
        <color indexed="23"/>
      </bottom>
      <diagonal/>
    </border>
    <border>
      <left/>
      <right style="medium">
        <color indexed="8"/>
      </right>
      <top style="medium">
        <color indexed="8"/>
      </top>
      <bottom style="thin">
        <color indexed="23"/>
      </bottom>
      <diagonal/>
    </border>
    <border>
      <left style="medium">
        <color indexed="8"/>
      </left>
      <right/>
      <top style="thin">
        <color indexed="20"/>
      </top>
      <bottom style="thin">
        <color indexed="23"/>
      </bottom>
      <diagonal/>
    </border>
    <border>
      <left style="thin">
        <color indexed="20"/>
      </left>
      <right style="thin">
        <color indexed="20"/>
      </right>
      <top style="thin">
        <color indexed="20"/>
      </top>
      <bottom/>
      <diagonal/>
    </border>
    <border>
      <left style="thin">
        <color indexed="20"/>
      </left>
      <right/>
      <top style="thin">
        <color indexed="20"/>
      </top>
      <bottom style="thin">
        <color indexed="20"/>
      </bottom>
      <diagonal/>
    </border>
    <border>
      <left style="thin">
        <color indexed="20"/>
      </left>
      <right style="thin">
        <color indexed="20"/>
      </right>
      <top/>
      <bottom style="thin">
        <color indexed="23"/>
      </bottom>
      <diagonal/>
    </border>
    <border>
      <left/>
      <right/>
      <top style="thin">
        <color indexed="17"/>
      </top>
      <bottom style="thin">
        <color indexed="20"/>
      </bottom>
      <diagonal/>
    </border>
    <border>
      <left/>
      <right/>
      <top style="thick">
        <color indexed="8"/>
      </top>
      <bottom style="thin">
        <color indexed="20"/>
      </bottom>
      <diagonal/>
    </border>
    <border>
      <left/>
      <right/>
      <top style="thick">
        <color indexed="8"/>
      </top>
      <bottom style="thin">
        <color indexed="20"/>
      </bottom>
      <diagonal/>
    </border>
    <border>
      <left/>
      <right/>
      <top style="thick">
        <color indexed="8"/>
      </top>
      <bottom style="thin">
        <color indexed="20"/>
      </bottom>
      <diagonal/>
    </border>
    <border>
      <left/>
      <right/>
      <top style="thin">
        <color indexed="17"/>
      </top>
      <bottom style="thin">
        <color indexed="20"/>
      </bottom>
      <diagonal/>
    </border>
    <border>
      <left style="thin">
        <color indexed="20"/>
      </left>
      <right style="thick">
        <color indexed="8"/>
      </right>
      <top style="thin">
        <color indexed="20"/>
      </top>
      <bottom style="thin">
        <color indexed="20"/>
      </bottom>
      <diagonal/>
    </border>
    <border>
      <left style="thick">
        <color indexed="8"/>
      </left>
      <right/>
      <top style="thin">
        <color indexed="20"/>
      </top>
      <bottom style="thin">
        <color indexed="20"/>
      </bottom>
      <diagonal/>
    </border>
    <border>
      <left/>
      <right style="thick">
        <color indexed="8"/>
      </right>
      <top style="thin">
        <color indexed="20"/>
      </top>
      <bottom style="thin">
        <color indexed="20"/>
      </bottom>
      <diagonal/>
    </border>
    <border>
      <left style="thin">
        <color indexed="20"/>
      </left>
      <right style="thick">
        <color indexed="8"/>
      </right>
      <top style="thin">
        <color indexed="20"/>
      </top>
      <bottom style="thin">
        <color indexed="23"/>
      </bottom>
      <diagonal/>
    </border>
    <border>
      <left style="thick">
        <color indexed="8"/>
      </left>
      <right style="thin">
        <color indexed="20"/>
      </right>
      <top style="thin">
        <color indexed="20"/>
      </top>
      <bottom style="thin">
        <color indexed="23"/>
      </bottom>
      <diagonal/>
    </border>
    <border>
      <left style="thin">
        <color indexed="20"/>
      </left>
      <right style="thick">
        <color indexed="8"/>
      </right>
      <top style="thin">
        <color indexed="23"/>
      </top>
      <bottom style="thin">
        <color indexed="20"/>
      </bottom>
      <diagonal/>
    </border>
    <border>
      <left style="thick">
        <color indexed="8"/>
      </left>
      <right style="thin">
        <color indexed="20"/>
      </right>
      <top style="thin">
        <color indexed="23"/>
      </top>
      <bottom style="thin">
        <color indexed="20"/>
      </bottom>
      <diagonal/>
    </border>
    <border>
      <left style="thick">
        <color indexed="8"/>
      </left>
      <right style="thin">
        <color indexed="20"/>
      </right>
      <top style="thin">
        <color indexed="20"/>
      </top>
      <bottom style="thin">
        <color indexed="20"/>
      </bottom>
      <diagonal/>
    </border>
    <border>
      <left style="thin">
        <color indexed="23"/>
      </left>
      <right style="thin">
        <color indexed="20"/>
      </right>
      <top style="thin">
        <color indexed="20"/>
      </top>
      <bottom/>
      <diagonal/>
    </border>
    <border>
      <left style="thin">
        <color indexed="23"/>
      </left>
      <right style="thin">
        <color indexed="20"/>
      </right>
      <top/>
      <bottom style="thin">
        <color indexed="20"/>
      </bottom>
      <diagonal/>
    </border>
    <border>
      <left style="thin">
        <color indexed="20"/>
      </left>
      <right style="thick">
        <color indexed="8"/>
      </right>
      <top style="thin">
        <color indexed="20"/>
      </top>
      <bottom/>
      <diagonal/>
    </border>
    <border>
      <left style="thick">
        <color indexed="8"/>
      </left>
      <right style="thin">
        <color indexed="20"/>
      </right>
      <top style="thin">
        <color indexed="20"/>
      </top>
      <bottom/>
      <diagonal/>
    </border>
    <border>
      <left style="thin">
        <color indexed="20"/>
      </left>
      <right style="thin">
        <color indexed="20"/>
      </right>
      <top/>
      <bottom/>
      <diagonal/>
    </border>
    <border>
      <left style="thin">
        <color indexed="20"/>
      </left>
      <right style="thick">
        <color indexed="8"/>
      </right>
      <top/>
      <bottom/>
      <diagonal/>
    </border>
    <border>
      <left style="thick">
        <color indexed="8"/>
      </left>
      <right style="thin">
        <color indexed="20"/>
      </right>
      <top/>
      <bottom/>
      <diagonal/>
    </border>
    <border>
      <left style="thin">
        <color indexed="20"/>
      </left>
      <right style="thin">
        <color indexed="20"/>
      </right>
      <top/>
      <bottom style="thin">
        <color indexed="20"/>
      </bottom>
      <diagonal/>
    </border>
    <border>
      <left style="thin">
        <color indexed="20"/>
      </left>
      <right style="thick">
        <color indexed="8"/>
      </right>
      <top/>
      <bottom style="thin">
        <color indexed="20"/>
      </bottom>
      <diagonal/>
    </border>
    <border>
      <left style="thick">
        <color indexed="8"/>
      </left>
      <right style="thin">
        <color indexed="20"/>
      </right>
      <top/>
      <bottom style="thin">
        <color indexed="20"/>
      </bottom>
      <diagonal/>
    </border>
    <border>
      <left style="thick">
        <color indexed="8"/>
      </left>
      <right style="thin">
        <color indexed="20"/>
      </right>
      <top style="thin">
        <color indexed="20"/>
      </top>
      <bottom style="thick">
        <color indexed="8"/>
      </bottom>
      <diagonal/>
    </border>
    <border>
      <left style="thin">
        <color indexed="20"/>
      </left>
      <right style="thin">
        <color indexed="20"/>
      </right>
      <top style="thin">
        <color indexed="20"/>
      </top>
      <bottom style="thick">
        <color indexed="8"/>
      </bottom>
      <diagonal/>
    </border>
    <border>
      <left style="thin">
        <color indexed="20"/>
      </left>
      <right style="thick">
        <color indexed="8"/>
      </right>
      <top style="thin">
        <color indexed="20"/>
      </top>
      <bottom style="thick">
        <color indexed="8"/>
      </bottom>
      <diagonal/>
    </border>
    <border>
      <left/>
      <right style="thin">
        <color indexed="20"/>
      </right>
      <top style="thin">
        <color indexed="20"/>
      </top>
      <bottom style="thin">
        <color indexed="23"/>
      </bottom>
      <diagonal/>
    </border>
  </borders>
  <cellStyleXfs count="1">
    <xf numFmtId="0" fontId="0" fillId="0" borderId="0" applyNumberFormat="0" applyFill="0" applyBorder="0" applyProtection="0">
      <alignment vertical="top" wrapText="1"/>
    </xf>
  </cellStyleXfs>
  <cellXfs count="475">
    <xf numFmtId="0" fontId="0" fillId="0" borderId="0" xfId="0" applyFont="1" applyAlignment="1">
      <alignment vertical="top" wrapText="1"/>
    </xf>
    <xf numFmtId="0" fontId="0" fillId="0" borderId="0" xfId="0" applyNumberFormat="1" applyFont="1" applyAlignment="1">
      <alignment vertical="top" wrapText="1"/>
    </xf>
    <xf numFmtId="49" fontId="4" fillId="3" borderId="1" xfId="0" applyNumberFormat="1" applyFont="1" applyFill="1" applyBorder="1" applyAlignment="1">
      <alignment horizontal="center" vertical="top" wrapText="1"/>
    </xf>
    <xf numFmtId="49" fontId="4" fillId="5" borderId="1" xfId="0" applyNumberFormat="1" applyFont="1" applyFill="1" applyBorder="1" applyAlignment="1">
      <alignment horizontal="center" vertical="top" wrapText="1"/>
    </xf>
    <xf numFmtId="49" fontId="5" fillId="6" borderId="1" xfId="0" applyNumberFormat="1" applyFont="1" applyFill="1" applyBorder="1" applyAlignment="1">
      <alignment horizontal="right" vertical="top" wrapText="1"/>
    </xf>
    <xf numFmtId="2" fontId="0" fillId="7" borderId="1" xfId="0" applyNumberFormat="1" applyFont="1" applyFill="1" applyBorder="1" applyAlignment="1">
      <alignment vertical="top" wrapText="1"/>
    </xf>
    <xf numFmtId="2" fontId="0" fillId="8" borderId="1" xfId="0" applyNumberFormat="1" applyFont="1" applyFill="1" applyBorder="1" applyAlignment="1">
      <alignment vertical="top" wrapText="1"/>
    </xf>
    <xf numFmtId="2" fontId="0" fillId="9" borderId="1" xfId="0" applyNumberFormat="1" applyFont="1" applyFill="1" applyBorder="1" applyAlignment="1">
      <alignment vertical="top" wrapText="1"/>
    </xf>
    <xf numFmtId="0" fontId="0" fillId="7" borderId="1" xfId="0" applyFont="1" applyFill="1" applyBorder="1" applyAlignment="1">
      <alignment vertical="top" wrapText="1"/>
    </xf>
    <xf numFmtId="0" fontId="0" fillId="9" borderId="1" xfId="0" applyFont="1" applyFill="1" applyBorder="1" applyAlignment="1">
      <alignment vertical="top" wrapText="1"/>
    </xf>
    <xf numFmtId="0" fontId="0" fillId="8" borderId="1" xfId="0" applyNumberFormat="1" applyFont="1" applyFill="1" applyBorder="1" applyAlignment="1">
      <alignment vertical="top" wrapText="1"/>
    </xf>
    <xf numFmtId="0" fontId="0" fillId="8" borderId="1" xfId="0" applyFont="1" applyFill="1" applyBorder="1" applyAlignment="1">
      <alignment vertical="top" wrapText="1"/>
    </xf>
    <xf numFmtId="0" fontId="0" fillId="4" borderId="2" xfId="0" applyFont="1" applyFill="1" applyBorder="1" applyAlignment="1">
      <alignment vertical="top" wrapText="1"/>
    </xf>
    <xf numFmtId="0" fontId="0" fillId="4" borderId="3" xfId="0" applyFont="1" applyFill="1" applyBorder="1" applyAlignment="1">
      <alignment vertical="top" wrapText="1"/>
    </xf>
    <xf numFmtId="0" fontId="0" fillId="4" borderId="4" xfId="0" applyFont="1" applyFill="1" applyBorder="1" applyAlignment="1">
      <alignment vertical="top" wrapText="1"/>
    </xf>
    <xf numFmtId="0" fontId="0" fillId="4" borderId="5" xfId="0" applyFont="1" applyFill="1" applyBorder="1" applyAlignment="1">
      <alignment vertical="top" wrapText="1"/>
    </xf>
    <xf numFmtId="0" fontId="0" fillId="4" borderId="6" xfId="0" applyFont="1" applyFill="1" applyBorder="1" applyAlignment="1">
      <alignment vertical="top" wrapText="1"/>
    </xf>
    <xf numFmtId="0" fontId="0" fillId="4" borderId="7" xfId="0" applyFont="1" applyFill="1" applyBorder="1" applyAlignment="1">
      <alignment vertical="top" wrapText="1"/>
    </xf>
    <xf numFmtId="2" fontId="0" fillId="4" borderId="7" xfId="0" applyNumberFormat="1" applyFont="1" applyFill="1" applyBorder="1" applyAlignment="1">
      <alignment vertical="top" wrapText="1"/>
    </xf>
    <xf numFmtId="0" fontId="0" fillId="4" borderId="8" xfId="0" applyFont="1" applyFill="1" applyBorder="1" applyAlignment="1">
      <alignment vertical="top" wrapText="1"/>
    </xf>
    <xf numFmtId="0" fontId="0" fillId="4" borderId="12" xfId="0" applyFont="1" applyFill="1" applyBorder="1" applyAlignment="1">
      <alignment vertical="top" wrapText="1"/>
    </xf>
    <xf numFmtId="9" fontId="0" fillId="4" borderId="7" xfId="0" applyNumberFormat="1" applyFont="1" applyFill="1" applyBorder="1" applyAlignment="1">
      <alignment vertical="top" wrapText="1"/>
    </xf>
    <xf numFmtId="49" fontId="6" fillId="3" borderId="13" xfId="0" applyNumberFormat="1" applyFont="1" applyFill="1" applyBorder="1" applyAlignment="1">
      <alignment horizontal="center" vertical="center" wrapText="1"/>
    </xf>
    <xf numFmtId="49" fontId="6" fillId="3" borderId="16" xfId="0" applyNumberFormat="1" applyFont="1" applyFill="1" applyBorder="1" applyAlignment="1">
      <alignment horizontal="center" vertical="center" wrapText="1"/>
    </xf>
    <xf numFmtId="164" fontId="0" fillId="4" borderId="7" xfId="0" applyNumberFormat="1" applyFont="1" applyFill="1" applyBorder="1" applyAlignment="1">
      <alignment vertical="top" wrapText="1"/>
    </xf>
    <xf numFmtId="49" fontId="0" fillId="8" borderId="13" xfId="0" applyNumberFormat="1" applyFont="1" applyFill="1" applyBorder="1" applyAlignment="1">
      <alignment horizontal="left" vertical="top" wrapText="1"/>
    </xf>
    <xf numFmtId="10" fontId="0" fillId="9" borderId="16" xfId="0" applyNumberFormat="1" applyFont="1" applyFill="1" applyBorder="1" applyAlignment="1">
      <alignment horizontal="center" vertical="top" wrapText="1"/>
    </xf>
    <xf numFmtId="0" fontId="0" fillId="6" borderId="16" xfId="0" applyNumberFormat="1" applyFont="1" applyFill="1" applyBorder="1" applyAlignment="1">
      <alignment horizontal="center" vertical="top" wrapText="1"/>
    </xf>
    <xf numFmtId="165" fontId="0" fillId="9" borderId="16" xfId="0" applyNumberFormat="1" applyFont="1" applyFill="1" applyBorder="1" applyAlignment="1">
      <alignment horizontal="center" vertical="top" wrapText="1"/>
    </xf>
    <xf numFmtId="0" fontId="0" fillId="6" borderId="16" xfId="0" applyFont="1" applyFill="1" applyBorder="1" applyAlignment="1">
      <alignment horizontal="center" vertical="top" wrapText="1"/>
    </xf>
    <xf numFmtId="49" fontId="0" fillId="8" borderId="18" xfId="0" applyNumberFormat="1" applyFont="1" applyFill="1" applyBorder="1" applyAlignment="1">
      <alignment horizontal="center" vertical="top" wrapText="1"/>
    </xf>
    <xf numFmtId="0" fontId="0" fillId="9" borderId="21" xfId="0" applyFont="1" applyFill="1" applyBorder="1" applyAlignment="1">
      <alignment horizontal="center" vertical="top" wrapText="1"/>
    </xf>
    <xf numFmtId="0" fontId="0" fillId="6" borderId="21" xfId="0" applyFont="1" applyFill="1" applyBorder="1" applyAlignment="1">
      <alignment horizontal="center" vertical="top" wrapText="1"/>
    </xf>
    <xf numFmtId="165" fontId="0" fillId="9" borderId="21" xfId="0" applyNumberFormat="1" applyFont="1" applyFill="1" applyBorder="1" applyAlignment="1">
      <alignment horizontal="center" vertical="top" wrapText="1"/>
    </xf>
    <xf numFmtId="0" fontId="7" fillId="4" borderId="23" xfId="0" applyFont="1" applyFill="1" applyBorder="1" applyAlignment="1"/>
    <xf numFmtId="0" fontId="7" fillId="4" borderId="23" xfId="0" applyFont="1" applyFill="1" applyBorder="1" applyAlignment="1">
      <alignment horizontal="center"/>
    </xf>
    <xf numFmtId="0" fontId="0" fillId="4" borderId="23" xfId="0" applyFont="1" applyFill="1" applyBorder="1" applyAlignment="1">
      <alignment vertical="top" wrapText="1"/>
    </xf>
    <xf numFmtId="0" fontId="0" fillId="4" borderId="24" xfId="0" applyFont="1" applyFill="1" applyBorder="1" applyAlignment="1">
      <alignment vertical="top" wrapText="1"/>
    </xf>
    <xf numFmtId="0" fontId="0" fillId="4" borderId="27" xfId="0" applyFont="1" applyFill="1" applyBorder="1" applyAlignment="1">
      <alignment vertical="top" wrapText="1"/>
    </xf>
    <xf numFmtId="0" fontId="0" fillId="4" borderId="28" xfId="0" applyFont="1" applyFill="1" applyBorder="1" applyAlignment="1">
      <alignment vertical="top" wrapText="1"/>
    </xf>
    <xf numFmtId="0" fontId="0" fillId="4" borderId="12" xfId="0" applyFont="1" applyFill="1" applyBorder="1" applyAlignment="1"/>
    <xf numFmtId="0" fontId="0" fillId="4" borderId="7" xfId="0" applyFont="1" applyFill="1" applyBorder="1" applyAlignment="1"/>
    <xf numFmtId="49" fontId="10" fillId="9" borderId="32" xfId="0" applyNumberFormat="1" applyFont="1" applyFill="1" applyBorder="1" applyAlignment="1">
      <alignment horizontal="center" vertical="center" wrapText="1"/>
    </xf>
    <xf numFmtId="49" fontId="10" fillId="9" borderId="33" xfId="0" applyNumberFormat="1" applyFont="1" applyFill="1" applyBorder="1" applyAlignment="1">
      <alignment vertical="center" wrapText="1"/>
    </xf>
    <xf numFmtId="49" fontId="10" fillId="9" borderId="34" xfId="0" applyNumberFormat="1" applyFont="1" applyFill="1" applyBorder="1" applyAlignment="1">
      <alignment vertical="center" wrapText="1"/>
    </xf>
    <xf numFmtId="0" fontId="9" fillId="4" borderId="12" xfId="0" applyFont="1" applyFill="1" applyBorder="1" applyAlignment="1">
      <alignment vertical="center"/>
    </xf>
    <xf numFmtId="49" fontId="11" fillId="4" borderId="7" xfId="0" applyNumberFormat="1" applyFont="1" applyFill="1" applyBorder="1" applyAlignment="1">
      <alignment vertical="center"/>
    </xf>
    <xf numFmtId="10" fontId="11" fillId="4" borderId="7" xfId="0" applyNumberFormat="1" applyFont="1" applyFill="1" applyBorder="1" applyAlignment="1">
      <alignment vertical="center"/>
    </xf>
    <xf numFmtId="0" fontId="0" fillId="6" borderId="35" xfId="0" applyNumberFormat="1" applyFont="1" applyFill="1" applyBorder="1" applyAlignment="1">
      <alignment vertical="top" wrapText="1"/>
    </xf>
    <xf numFmtId="0" fontId="0" fillId="4" borderId="1" xfId="0" applyNumberFormat="1" applyFont="1" applyFill="1" applyBorder="1" applyAlignment="1">
      <alignment horizontal="center" vertical="top" wrapText="1"/>
    </xf>
    <xf numFmtId="0" fontId="0" fillId="6" borderId="1" xfId="0" applyFont="1" applyFill="1" applyBorder="1" applyAlignment="1">
      <alignment horizontal="center" vertical="top" wrapText="1"/>
    </xf>
    <xf numFmtId="0" fontId="0" fillId="4" borderId="1" xfId="0" applyNumberFormat="1" applyFont="1" applyFill="1" applyBorder="1" applyAlignment="1"/>
    <xf numFmtId="0" fontId="0" fillId="6" borderId="36" xfId="0" applyNumberFormat="1" applyFont="1" applyFill="1" applyBorder="1" applyAlignment="1"/>
    <xf numFmtId="2" fontId="0" fillId="6" borderId="1" xfId="0" applyNumberFormat="1" applyFont="1" applyFill="1" applyBorder="1" applyAlignment="1">
      <alignment horizontal="center" vertical="top" wrapText="1"/>
    </xf>
    <xf numFmtId="2" fontId="0" fillId="4" borderId="1" xfId="0" applyNumberFormat="1" applyFont="1" applyFill="1" applyBorder="1" applyAlignment="1"/>
    <xf numFmtId="0" fontId="0" fillId="4" borderId="1" xfId="0" applyNumberFormat="1" applyFont="1" applyFill="1" applyBorder="1" applyAlignment="1">
      <alignment horizontal="center"/>
    </xf>
    <xf numFmtId="0" fontId="0" fillId="6" borderId="37" xfId="0" applyFont="1" applyFill="1" applyBorder="1" applyAlignment="1"/>
    <xf numFmtId="0" fontId="0" fillId="4" borderId="38" xfId="0" applyFont="1" applyFill="1" applyBorder="1" applyAlignment="1"/>
    <xf numFmtId="0" fontId="11" fillId="6" borderId="38" xfId="0" applyFont="1" applyFill="1" applyBorder="1" applyAlignment="1"/>
    <xf numFmtId="49" fontId="9" fillId="4" borderId="38" xfId="0" applyNumberFormat="1" applyFont="1" applyFill="1" applyBorder="1" applyAlignment="1">
      <alignment vertical="center" wrapText="1"/>
    </xf>
    <xf numFmtId="0" fontId="0" fillId="6" borderId="39" xfId="0" applyNumberFormat="1" applyFont="1" applyFill="1" applyBorder="1" applyAlignment="1"/>
    <xf numFmtId="0" fontId="0" fillId="4" borderId="40" xfId="0" applyFont="1" applyFill="1" applyBorder="1" applyAlignment="1"/>
    <xf numFmtId="0" fontId="11" fillId="4" borderId="40" xfId="0" applyFont="1" applyFill="1" applyBorder="1" applyAlignment="1"/>
    <xf numFmtId="0" fontId="9" fillId="4" borderId="40" xfId="0" applyFont="1" applyFill="1" applyBorder="1" applyAlignment="1">
      <alignment vertical="center" wrapText="1"/>
    </xf>
    <xf numFmtId="0" fontId="0" fillId="4" borderId="6" xfId="0" applyFont="1" applyFill="1" applyBorder="1" applyAlignment="1"/>
    <xf numFmtId="0" fontId="0" fillId="4" borderId="41" xfId="0" applyFont="1" applyFill="1" applyBorder="1" applyAlignment="1"/>
    <xf numFmtId="0" fontId="9" fillId="4" borderId="45" xfId="0" applyFont="1" applyFill="1" applyBorder="1" applyAlignment="1">
      <alignment horizontal="center" vertical="center" wrapText="1"/>
    </xf>
    <xf numFmtId="0" fontId="0" fillId="4" borderId="24" xfId="0" applyFont="1" applyFill="1" applyBorder="1" applyAlignment="1"/>
    <xf numFmtId="49" fontId="10" fillId="8" borderId="3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36" xfId="0" applyNumberFormat="1" applyFont="1" applyFill="1" applyBorder="1" applyAlignment="1">
      <alignment horizontal="center" vertical="center" wrapText="1"/>
    </xf>
    <xf numFmtId="0" fontId="1" fillId="4" borderId="45" xfId="0" applyFont="1" applyFill="1" applyBorder="1" applyAlignment="1">
      <alignment horizontal="center"/>
    </xf>
    <xf numFmtId="0" fontId="0" fillId="0" borderId="1" xfId="0" applyNumberFormat="1" applyFont="1" applyBorder="1" applyAlignment="1">
      <alignment horizontal="center" vertical="top" wrapText="1"/>
    </xf>
    <xf numFmtId="0" fontId="0" fillId="0" borderId="36" xfId="0" applyNumberFormat="1" applyFont="1" applyBorder="1" applyAlignment="1"/>
    <xf numFmtId="0" fontId="0" fillId="4" borderId="45" xfId="0" applyFont="1" applyFill="1" applyBorder="1" applyAlignment="1"/>
    <xf numFmtId="0" fontId="0" fillId="0" borderId="1" xfId="0" applyNumberFormat="1" applyFont="1" applyBorder="1" applyAlignment="1">
      <alignment horizontal="center"/>
    </xf>
    <xf numFmtId="0" fontId="0" fillId="0" borderId="38" xfId="0" applyFont="1" applyBorder="1" applyAlignment="1"/>
    <xf numFmtId="49" fontId="11" fillId="10" borderId="38" xfId="0" applyNumberFormat="1" applyFont="1" applyFill="1" applyBorder="1" applyAlignment="1"/>
    <xf numFmtId="10" fontId="0" fillId="10" borderId="39" xfId="0" applyNumberFormat="1" applyFont="1" applyFill="1" applyBorder="1" applyAlignment="1"/>
    <xf numFmtId="9" fontId="0" fillId="4" borderId="40" xfId="0" applyNumberFormat="1" applyFont="1" applyFill="1" applyBorder="1" applyAlignment="1"/>
    <xf numFmtId="0" fontId="0" fillId="4" borderId="26" xfId="0" applyFont="1" applyFill="1" applyBorder="1" applyAlignment="1"/>
    <xf numFmtId="0" fontId="0" fillId="4" borderId="46" xfId="0" applyFont="1" applyFill="1" applyBorder="1" applyAlignment="1">
      <alignment vertical="top" wrapText="1"/>
    </xf>
    <xf numFmtId="0" fontId="0" fillId="4" borderId="47" xfId="0" applyFont="1" applyFill="1" applyBorder="1" applyAlignment="1"/>
    <xf numFmtId="0" fontId="11" fillId="4" borderId="47" xfId="0" applyFont="1" applyFill="1" applyBorder="1" applyAlignment="1"/>
    <xf numFmtId="9" fontId="0" fillId="4" borderId="47" xfId="0" applyNumberFormat="1" applyFont="1" applyFill="1" applyBorder="1" applyAlignment="1"/>
    <xf numFmtId="0" fontId="0" fillId="4" borderId="47" xfId="0" applyFont="1" applyFill="1" applyBorder="1" applyAlignment="1">
      <alignment vertical="top" wrapText="1"/>
    </xf>
    <xf numFmtId="0" fontId="0" fillId="4" borderId="48" xfId="0" applyFont="1" applyFill="1" applyBorder="1" applyAlignment="1">
      <alignment vertical="top" wrapText="1"/>
    </xf>
    <xf numFmtId="0" fontId="0" fillId="0" borderId="0" xfId="0" applyNumberFormat="1" applyFont="1" applyAlignment="1">
      <alignment vertical="top" wrapText="1"/>
    </xf>
    <xf numFmtId="0" fontId="5" fillId="11" borderId="53" xfId="0" applyFont="1" applyFill="1" applyBorder="1" applyAlignment="1">
      <alignment vertical="top" wrapText="1"/>
    </xf>
    <xf numFmtId="49" fontId="4" fillId="5" borderId="64" xfId="0" applyNumberFormat="1" applyFont="1" applyFill="1" applyBorder="1" applyAlignment="1">
      <alignment horizontal="center" vertical="top" wrapText="1"/>
    </xf>
    <xf numFmtId="49" fontId="4" fillId="5" borderId="62" xfId="0" applyNumberFormat="1" applyFont="1" applyFill="1" applyBorder="1" applyAlignment="1">
      <alignment horizontal="center" vertical="top" wrapText="1"/>
    </xf>
    <xf numFmtId="49" fontId="4" fillId="5" borderId="63" xfId="0" applyNumberFormat="1" applyFont="1" applyFill="1" applyBorder="1" applyAlignment="1">
      <alignment horizontal="center" vertical="top" wrapText="1"/>
    </xf>
    <xf numFmtId="49" fontId="4" fillId="12" borderId="64" xfId="0" applyNumberFormat="1" applyFont="1" applyFill="1" applyBorder="1" applyAlignment="1">
      <alignment horizontal="center" vertical="top" wrapText="1"/>
    </xf>
    <xf numFmtId="49" fontId="4" fillId="12" borderId="62" xfId="0" applyNumberFormat="1" applyFont="1" applyFill="1" applyBorder="1" applyAlignment="1">
      <alignment horizontal="center" vertical="top" wrapText="1"/>
    </xf>
    <xf numFmtId="49" fontId="4" fillId="12" borderId="63" xfId="0" applyNumberFormat="1" applyFont="1" applyFill="1" applyBorder="1" applyAlignment="1">
      <alignment horizontal="center" vertical="top" wrapText="1"/>
    </xf>
    <xf numFmtId="49" fontId="5" fillId="13" borderId="65" xfId="0" applyNumberFormat="1" applyFont="1" applyFill="1" applyBorder="1" applyAlignment="1">
      <alignment vertical="top" wrapText="1"/>
    </xf>
    <xf numFmtId="0" fontId="0" fillId="7" borderId="66" xfId="0" applyFont="1" applyFill="1" applyBorder="1" applyAlignment="1">
      <alignment vertical="top" wrapText="1"/>
    </xf>
    <xf numFmtId="0" fontId="0" fillId="10" borderId="67" xfId="0" applyFont="1" applyFill="1" applyBorder="1" applyAlignment="1">
      <alignment vertical="top" wrapText="1"/>
    </xf>
    <xf numFmtId="0" fontId="0" fillId="9" borderId="68" xfId="0" applyFont="1" applyFill="1" applyBorder="1" applyAlignment="1">
      <alignment vertical="top" wrapText="1"/>
    </xf>
    <xf numFmtId="0" fontId="0" fillId="9" borderId="69" xfId="0" applyFont="1" applyFill="1" applyBorder="1" applyAlignment="1">
      <alignment vertical="top" wrapText="1"/>
    </xf>
    <xf numFmtId="0" fontId="0" fillId="9" borderId="67" xfId="0" applyFont="1" applyFill="1" applyBorder="1" applyAlignment="1">
      <alignment vertical="top" wrapText="1"/>
    </xf>
    <xf numFmtId="0" fontId="0" fillId="8" borderId="68" xfId="0" applyFont="1" applyFill="1" applyBorder="1" applyAlignment="1">
      <alignment vertical="top" wrapText="1"/>
    </xf>
    <xf numFmtId="0" fontId="0" fillId="8" borderId="69" xfId="0" applyFont="1" applyFill="1" applyBorder="1" applyAlignment="1">
      <alignment vertical="top" wrapText="1"/>
    </xf>
    <xf numFmtId="0" fontId="0" fillId="8" borderId="67" xfId="0" applyFont="1" applyFill="1" applyBorder="1" applyAlignment="1">
      <alignment vertical="top" wrapText="1"/>
    </xf>
    <xf numFmtId="49" fontId="5" fillId="13" borderId="70" xfId="0" applyNumberFormat="1" applyFont="1" applyFill="1" applyBorder="1" applyAlignment="1">
      <alignment horizontal="right" vertical="top" wrapText="1"/>
    </xf>
    <xf numFmtId="0" fontId="0" fillId="7" borderId="71" xfId="0" applyFont="1" applyFill="1" applyBorder="1" applyAlignment="1">
      <alignment vertical="top" wrapText="1"/>
    </xf>
    <xf numFmtId="0" fontId="0" fillId="10" borderId="54" xfId="0" applyFont="1" applyFill="1" applyBorder="1" applyAlignment="1">
      <alignment vertical="top" wrapText="1"/>
    </xf>
    <xf numFmtId="0" fontId="0" fillId="9" borderId="72" xfId="0" applyNumberFormat="1" applyFont="1" applyFill="1" applyBorder="1" applyAlignment="1">
      <alignment vertical="top" wrapText="1"/>
    </xf>
    <xf numFmtId="0" fontId="0" fillId="9" borderId="53" xfId="0" applyNumberFormat="1" applyFont="1" applyFill="1" applyBorder="1" applyAlignment="1">
      <alignment vertical="top" wrapText="1"/>
    </xf>
    <xf numFmtId="0" fontId="0" fillId="9" borderId="54" xfId="0" applyNumberFormat="1" applyFont="1" applyFill="1" applyBorder="1" applyAlignment="1">
      <alignment vertical="top" wrapText="1"/>
    </xf>
    <xf numFmtId="0" fontId="0" fillId="8" borderId="72" xfId="0" applyNumberFormat="1" applyFont="1" applyFill="1" applyBorder="1" applyAlignment="1">
      <alignment vertical="top" wrapText="1"/>
    </xf>
    <xf numFmtId="0" fontId="0" fillId="8" borderId="53" xfId="0" applyNumberFormat="1" applyFont="1" applyFill="1" applyBorder="1" applyAlignment="1">
      <alignment vertical="top" wrapText="1"/>
    </xf>
    <xf numFmtId="0" fontId="0" fillId="8" borderId="54" xfId="0" applyNumberFormat="1" applyFont="1" applyFill="1" applyBorder="1" applyAlignment="1">
      <alignment vertical="top" wrapText="1"/>
    </xf>
    <xf numFmtId="0" fontId="0" fillId="9" borderId="72" xfId="0" applyFont="1" applyFill="1" applyBorder="1" applyAlignment="1">
      <alignment vertical="top" wrapText="1"/>
    </xf>
    <xf numFmtId="0" fontId="0" fillId="9" borderId="53" xfId="0" applyFont="1" applyFill="1" applyBorder="1" applyAlignment="1">
      <alignment vertical="top" wrapText="1"/>
    </xf>
    <xf numFmtId="3" fontId="0" fillId="9" borderId="72" xfId="0" applyNumberFormat="1" applyFont="1" applyFill="1" applyBorder="1" applyAlignment="1">
      <alignment vertical="top" wrapText="1"/>
    </xf>
    <xf numFmtId="3" fontId="0" fillId="9" borderId="53" xfId="0" applyNumberFormat="1" applyFont="1" applyFill="1" applyBorder="1" applyAlignment="1">
      <alignment vertical="top" wrapText="1"/>
    </xf>
    <xf numFmtId="3" fontId="0" fillId="9" borderId="54" xfId="0" applyNumberFormat="1" applyFont="1" applyFill="1" applyBorder="1" applyAlignment="1">
      <alignment vertical="top" wrapText="1"/>
    </xf>
    <xf numFmtId="3" fontId="0" fillId="8" borderId="72" xfId="0" applyNumberFormat="1" applyFont="1" applyFill="1" applyBorder="1" applyAlignment="1">
      <alignment vertical="top" wrapText="1"/>
    </xf>
    <xf numFmtId="3" fontId="0" fillId="8" borderId="53" xfId="0" applyNumberFormat="1" applyFont="1" applyFill="1" applyBorder="1" applyAlignment="1">
      <alignment vertical="top" wrapText="1"/>
    </xf>
    <xf numFmtId="3" fontId="0" fillId="8" borderId="54" xfId="0" applyNumberFormat="1" applyFont="1" applyFill="1" applyBorder="1" applyAlignment="1">
      <alignment vertical="top" wrapText="1"/>
    </xf>
    <xf numFmtId="49" fontId="5" fillId="14" borderId="70" xfId="0" applyNumberFormat="1" applyFont="1" applyFill="1" applyBorder="1" applyAlignment="1">
      <alignment vertical="top" wrapText="1"/>
    </xf>
    <xf numFmtId="0" fontId="0" fillId="9" borderId="54" xfId="0" applyFont="1" applyFill="1" applyBorder="1" applyAlignment="1">
      <alignment vertical="top" wrapText="1"/>
    </xf>
    <xf numFmtId="0" fontId="0" fillId="8" borderId="72" xfId="0" applyFont="1" applyFill="1" applyBorder="1" applyAlignment="1">
      <alignment vertical="top" wrapText="1"/>
    </xf>
    <xf numFmtId="0" fontId="0" fillId="8" borderId="53" xfId="0" applyFont="1" applyFill="1" applyBorder="1" applyAlignment="1">
      <alignment vertical="top" wrapText="1"/>
    </xf>
    <xf numFmtId="0" fontId="0" fillId="8" borderId="54" xfId="0" applyFont="1" applyFill="1" applyBorder="1" applyAlignment="1">
      <alignment vertical="top" wrapText="1"/>
    </xf>
    <xf numFmtId="49" fontId="5" fillId="13" borderId="70" xfId="0" applyNumberFormat="1" applyFont="1" applyFill="1" applyBorder="1" applyAlignment="1">
      <alignment vertical="top" wrapText="1"/>
    </xf>
    <xf numFmtId="0" fontId="5" fillId="13" borderId="70" xfId="0" applyFont="1" applyFill="1" applyBorder="1" applyAlignment="1">
      <alignment vertical="top" wrapText="1"/>
    </xf>
    <xf numFmtId="49" fontId="5" fillId="15" borderId="70" xfId="0" applyNumberFormat="1" applyFont="1" applyFill="1" applyBorder="1" applyAlignment="1">
      <alignment vertical="top" wrapText="1"/>
    </xf>
    <xf numFmtId="0" fontId="0" fillId="15" borderId="71" xfId="0" applyFont="1" applyFill="1" applyBorder="1" applyAlignment="1">
      <alignment vertical="top" wrapText="1"/>
    </xf>
    <xf numFmtId="0" fontId="0" fillId="15" borderId="72" xfId="0" applyFont="1" applyFill="1" applyBorder="1" applyAlignment="1">
      <alignment vertical="top" wrapText="1"/>
    </xf>
    <xf numFmtId="0" fontId="0" fillId="15" borderId="53" xfId="0" applyFont="1" applyFill="1" applyBorder="1" applyAlignment="1">
      <alignment vertical="top" wrapText="1"/>
    </xf>
    <xf numFmtId="0" fontId="0" fillId="15" borderId="54" xfId="0" applyFont="1" applyFill="1" applyBorder="1" applyAlignment="1">
      <alignment vertical="top" wrapText="1"/>
    </xf>
    <xf numFmtId="49" fontId="0" fillId="7" borderId="71" xfId="0" applyNumberFormat="1" applyFont="1" applyFill="1" applyBorder="1" applyAlignment="1">
      <alignment vertical="top" wrapText="1"/>
    </xf>
    <xf numFmtId="166" fontId="0" fillId="10" borderId="54" xfId="0" applyNumberFormat="1" applyFont="1" applyFill="1" applyBorder="1" applyAlignment="1">
      <alignment vertical="top" wrapText="1"/>
    </xf>
    <xf numFmtId="3" fontId="0" fillId="15" borderId="72" xfId="0" applyNumberFormat="1" applyFont="1" applyFill="1" applyBorder="1" applyAlignment="1">
      <alignment vertical="top" wrapText="1"/>
    </xf>
    <xf numFmtId="3" fontId="0" fillId="15" borderId="53" xfId="0" applyNumberFormat="1" applyFont="1" applyFill="1" applyBorder="1" applyAlignment="1">
      <alignment vertical="top" wrapText="1"/>
    </xf>
    <xf numFmtId="3" fontId="0" fillId="15" borderId="54" xfId="0" applyNumberFormat="1" applyFont="1" applyFill="1" applyBorder="1" applyAlignment="1">
      <alignment vertical="top" wrapText="1"/>
    </xf>
    <xf numFmtId="3" fontId="5" fillId="9" borderId="72" xfId="0" applyNumberFormat="1" applyFont="1" applyFill="1" applyBorder="1" applyAlignment="1">
      <alignment vertical="top" wrapText="1"/>
    </xf>
    <xf numFmtId="3" fontId="5" fillId="9" borderId="53" xfId="0" applyNumberFormat="1" applyFont="1" applyFill="1" applyBorder="1" applyAlignment="1">
      <alignment vertical="top" wrapText="1"/>
    </xf>
    <xf numFmtId="3" fontId="5" fillId="9" borderId="54" xfId="0" applyNumberFormat="1" applyFont="1" applyFill="1" applyBorder="1" applyAlignment="1">
      <alignment vertical="top" wrapText="1"/>
    </xf>
    <xf numFmtId="3" fontId="5" fillId="8" borderId="72" xfId="0" applyNumberFormat="1" applyFont="1" applyFill="1" applyBorder="1" applyAlignment="1">
      <alignment vertical="top" wrapText="1"/>
    </xf>
    <xf numFmtId="3" fontId="5" fillId="8" borderId="53" xfId="0" applyNumberFormat="1" applyFont="1" applyFill="1" applyBorder="1" applyAlignment="1">
      <alignment vertical="top" wrapText="1"/>
    </xf>
    <xf numFmtId="3" fontId="5" fillId="8" borderId="54" xfId="0" applyNumberFormat="1" applyFont="1" applyFill="1" applyBorder="1" applyAlignment="1">
      <alignment vertical="top" wrapText="1"/>
    </xf>
    <xf numFmtId="0" fontId="5" fillId="7" borderId="76" xfId="0" applyFont="1" applyFill="1" applyBorder="1" applyAlignment="1">
      <alignment horizontal="right" vertical="top" wrapText="1"/>
    </xf>
    <xf numFmtId="0" fontId="0" fillId="10" borderId="60" xfId="0" applyFont="1" applyFill="1" applyBorder="1" applyAlignment="1">
      <alignment vertical="top" wrapText="1"/>
    </xf>
    <xf numFmtId="0" fontId="5" fillId="7" borderId="77" xfId="0" applyFont="1" applyFill="1" applyBorder="1" applyAlignment="1">
      <alignment horizontal="right" vertical="top" wrapText="1"/>
    </xf>
    <xf numFmtId="0" fontId="0" fillId="10" borderId="78" xfId="0" applyFont="1" applyFill="1" applyBorder="1" applyAlignment="1">
      <alignment vertical="top" wrapText="1"/>
    </xf>
    <xf numFmtId="3" fontId="5" fillId="9" borderId="79" xfId="0" applyNumberFormat="1" applyFont="1" applyFill="1" applyBorder="1" applyAlignment="1">
      <alignment vertical="top" wrapText="1"/>
    </xf>
    <xf numFmtId="3" fontId="5" fillId="9" borderId="80" xfId="0" applyNumberFormat="1" applyFont="1" applyFill="1" applyBorder="1" applyAlignment="1">
      <alignment vertical="top" wrapText="1"/>
    </xf>
    <xf numFmtId="3" fontId="5" fillId="9" borderId="81" xfId="0" applyNumberFormat="1" applyFont="1" applyFill="1" applyBorder="1" applyAlignment="1">
      <alignment vertical="top" wrapText="1"/>
    </xf>
    <xf numFmtId="3" fontId="5" fillId="8" borderId="79" xfId="0" applyNumberFormat="1" applyFont="1" applyFill="1" applyBorder="1" applyAlignment="1">
      <alignment vertical="top" wrapText="1"/>
    </xf>
    <xf numFmtId="3" fontId="5" fillId="8" borderId="80" xfId="0" applyNumberFormat="1" applyFont="1" applyFill="1" applyBorder="1" applyAlignment="1">
      <alignment vertical="top" wrapText="1"/>
    </xf>
    <xf numFmtId="3" fontId="5" fillId="8" borderId="81" xfId="0" applyNumberFormat="1" applyFont="1" applyFill="1" applyBorder="1" applyAlignment="1">
      <alignment vertical="top" wrapText="1"/>
    </xf>
    <xf numFmtId="49" fontId="12" fillId="16" borderId="82" xfId="0" applyNumberFormat="1" applyFont="1" applyFill="1" applyBorder="1" applyAlignment="1">
      <alignment horizontal="right" vertical="top" wrapText="1"/>
    </xf>
    <xf numFmtId="0" fontId="5" fillId="13" borderId="70" xfId="0" applyFont="1" applyFill="1" applyBorder="1" applyAlignment="1">
      <alignment horizontal="right" vertical="top" wrapText="1"/>
    </xf>
    <xf numFmtId="0" fontId="5" fillId="7" borderId="83" xfId="0" applyFont="1" applyFill="1" applyBorder="1" applyAlignment="1">
      <alignment horizontal="right" vertical="top" wrapText="1"/>
    </xf>
    <xf numFmtId="0" fontId="0" fillId="10" borderId="84" xfId="0" applyFont="1" applyFill="1" applyBorder="1" applyAlignment="1">
      <alignment vertical="top" wrapText="1"/>
    </xf>
    <xf numFmtId="0" fontId="5" fillId="9" borderId="85" xfId="0" applyFont="1" applyFill="1" applyBorder="1" applyAlignment="1">
      <alignment vertical="top" wrapText="1"/>
    </xf>
    <xf numFmtId="0" fontId="5" fillId="9" borderId="86" xfId="0" applyFont="1" applyFill="1" applyBorder="1" applyAlignment="1">
      <alignment vertical="top" wrapText="1"/>
    </xf>
    <xf numFmtId="0" fontId="5" fillId="9" borderId="87" xfId="0" applyFont="1" applyFill="1" applyBorder="1" applyAlignment="1">
      <alignment vertical="top" wrapText="1"/>
    </xf>
    <xf numFmtId="0" fontId="5" fillId="8" borderId="85" xfId="0" applyFont="1" applyFill="1" applyBorder="1" applyAlignment="1">
      <alignment vertical="top" wrapText="1"/>
    </xf>
    <xf numFmtId="0" fontId="5" fillId="8" borderId="86" xfId="0" applyFont="1" applyFill="1" applyBorder="1" applyAlignment="1">
      <alignment vertical="top" wrapText="1"/>
    </xf>
    <xf numFmtId="0" fontId="5" fillId="8" borderId="87" xfId="0" applyFont="1" applyFill="1" applyBorder="1" applyAlignment="1">
      <alignment vertical="top" wrapText="1"/>
    </xf>
    <xf numFmtId="0" fontId="5" fillId="9" borderId="72" xfId="0" applyFont="1" applyFill="1" applyBorder="1" applyAlignment="1">
      <alignment vertical="top" wrapText="1"/>
    </xf>
    <xf numFmtId="0" fontId="5" fillId="9" borderId="53" xfId="0" applyFont="1" applyFill="1" applyBorder="1" applyAlignment="1">
      <alignment vertical="top" wrapText="1"/>
    </xf>
    <xf numFmtId="0" fontId="5" fillId="9" borderId="54" xfId="0" applyFont="1" applyFill="1" applyBorder="1" applyAlignment="1">
      <alignment vertical="top" wrapText="1"/>
    </xf>
    <xf numFmtId="0" fontId="5" fillId="8" borderId="72" xfId="0" applyFont="1" applyFill="1" applyBorder="1" applyAlignment="1">
      <alignment vertical="top" wrapText="1"/>
    </xf>
    <xf numFmtId="0" fontId="5" fillId="8" borderId="53" xfId="0" applyFont="1" applyFill="1" applyBorder="1" applyAlignment="1">
      <alignment vertical="top" wrapText="1"/>
    </xf>
    <xf numFmtId="0" fontId="5" fillId="8" borderId="54" xfId="0" applyFont="1" applyFill="1" applyBorder="1" applyAlignment="1">
      <alignment vertical="top" wrapText="1"/>
    </xf>
    <xf numFmtId="49" fontId="13" fillId="16" borderId="70" xfId="0" applyNumberFormat="1" applyFont="1" applyFill="1" applyBorder="1" applyAlignment="1">
      <alignment horizontal="center" vertical="top" wrapText="1"/>
    </xf>
    <xf numFmtId="0" fontId="5" fillId="7" borderId="71" xfId="0" applyFont="1" applyFill="1" applyBorder="1" applyAlignment="1">
      <alignment horizontal="right" vertical="top" wrapText="1"/>
    </xf>
    <xf numFmtId="0" fontId="5" fillId="10" borderId="54" xfId="0" applyFont="1" applyFill="1" applyBorder="1" applyAlignment="1">
      <alignment horizontal="right" vertical="top" wrapText="1"/>
    </xf>
    <xf numFmtId="9" fontId="0" fillId="9" borderId="72" xfId="0" applyNumberFormat="1" applyFont="1" applyFill="1" applyBorder="1" applyAlignment="1">
      <alignment vertical="top" wrapText="1"/>
    </xf>
    <xf numFmtId="9" fontId="0" fillId="9" borderId="53" xfId="0" applyNumberFormat="1" applyFont="1" applyFill="1" applyBorder="1" applyAlignment="1">
      <alignment vertical="top" wrapText="1"/>
    </xf>
    <xf numFmtId="9" fontId="0" fillId="9" borderId="54" xfId="0" applyNumberFormat="1" applyFont="1" applyFill="1" applyBorder="1" applyAlignment="1">
      <alignment vertical="top" wrapText="1"/>
    </xf>
    <xf numFmtId="9" fontId="0" fillId="8" borderId="72" xfId="0" applyNumberFormat="1" applyFont="1" applyFill="1" applyBorder="1" applyAlignment="1">
      <alignment vertical="top" wrapText="1"/>
    </xf>
    <xf numFmtId="9" fontId="0" fillId="8" borderId="53" xfId="0" applyNumberFormat="1" applyFont="1" applyFill="1" applyBorder="1" applyAlignment="1">
      <alignment vertical="top" wrapText="1"/>
    </xf>
    <xf numFmtId="9" fontId="0" fillId="8" borderId="54" xfId="0" applyNumberFormat="1" applyFont="1" applyFill="1" applyBorder="1" applyAlignment="1">
      <alignment vertical="top" wrapText="1"/>
    </xf>
    <xf numFmtId="0" fontId="0" fillId="9" borderId="88" xfId="0" applyFont="1" applyFill="1" applyBorder="1" applyAlignment="1">
      <alignment vertical="top" wrapText="1"/>
    </xf>
    <xf numFmtId="0" fontId="0" fillId="9" borderId="89" xfId="0" applyFont="1" applyFill="1" applyBorder="1" applyAlignment="1">
      <alignment vertical="top" wrapText="1"/>
    </xf>
    <xf numFmtId="0" fontId="0" fillId="9" borderId="90" xfId="0" applyFont="1" applyFill="1" applyBorder="1" applyAlignment="1">
      <alignment vertical="top" wrapText="1"/>
    </xf>
    <xf numFmtId="0" fontId="0" fillId="0" borderId="0" xfId="0" applyNumberFormat="1" applyFont="1" applyAlignment="1">
      <alignment vertical="top" wrapText="1"/>
    </xf>
    <xf numFmtId="49" fontId="4" fillId="3" borderId="66" xfId="0" applyNumberFormat="1" applyFont="1" applyFill="1" applyBorder="1" applyAlignment="1">
      <alignment horizontal="center" vertical="top" wrapText="1"/>
    </xf>
    <xf numFmtId="49" fontId="4" fillId="3" borderId="69" xfId="0" applyNumberFormat="1" applyFont="1" applyFill="1" applyBorder="1" applyAlignment="1">
      <alignment horizontal="center" vertical="top" wrapText="1"/>
    </xf>
    <xf numFmtId="49" fontId="4" fillId="3" borderId="67" xfId="0" applyNumberFormat="1" applyFont="1" applyFill="1" applyBorder="1" applyAlignment="1">
      <alignment horizontal="center" vertical="top" wrapText="1"/>
    </xf>
    <xf numFmtId="49" fontId="4" fillId="5" borderId="68" xfId="0" applyNumberFormat="1" applyFont="1" applyFill="1" applyBorder="1" applyAlignment="1">
      <alignment horizontal="center" vertical="top" wrapText="1"/>
    </xf>
    <xf numFmtId="49" fontId="4" fillId="5" borderId="69" xfId="0" applyNumberFormat="1" applyFont="1" applyFill="1" applyBorder="1" applyAlignment="1">
      <alignment horizontal="center" vertical="top" wrapText="1"/>
    </xf>
    <xf numFmtId="49" fontId="4" fillId="5" borderId="67" xfId="0" applyNumberFormat="1" applyFont="1" applyFill="1" applyBorder="1" applyAlignment="1">
      <alignment horizontal="center" vertical="top" wrapText="1"/>
    </xf>
    <xf numFmtId="49" fontId="4" fillId="3" borderId="68" xfId="0" applyNumberFormat="1" applyFont="1" applyFill="1" applyBorder="1" applyAlignment="1">
      <alignment horizontal="center" vertical="top" wrapText="1"/>
    </xf>
    <xf numFmtId="2" fontId="14" fillId="7" borderId="71" xfId="0" applyNumberFormat="1" applyFont="1" applyFill="1" applyBorder="1" applyAlignment="1">
      <alignment vertical="top" wrapText="1"/>
    </xf>
    <xf numFmtId="2" fontId="14" fillId="7" borderId="53" xfId="0" applyNumberFormat="1" applyFont="1" applyFill="1" applyBorder="1" applyAlignment="1">
      <alignment vertical="top" wrapText="1"/>
    </xf>
    <xf numFmtId="2" fontId="14" fillId="7" borderId="54" xfId="0" applyNumberFormat="1" applyFont="1" applyFill="1" applyBorder="1" applyAlignment="1">
      <alignment vertical="top" wrapText="1"/>
    </xf>
    <xf numFmtId="2" fontId="14" fillId="9" borderId="72" xfId="0" applyNumberFormat="1" applyFont="1" applyFill="1" applyBorder="1" applyAlignment="1">
      <alignment vertical="top" wrapText="1"/>
    </xf>
    <xf numFmtId="2" fontId="14" fillId="9" borderId="53" xfId="0" applyNumberFormat="1" applyFont="1" applyFill="1" applyBorder="1" applyAlignment="1">
      <alignment vertical="top" wrapText="1"/>
    </xf>
    <xf numFmtId="2" fontId="14" fillId="9" borderId="54" xfId="0" applyNumberFormat="1" applyFont="1" applyFill="1" applyBorder="1" applyAlignment="1">
      <alignment vertical="top" wrapText="1"/>
    </xf>
    <xf numFmtId="2" fontId="14" fillId="7" borderId="72" xfId="0" applyNumberFormat="1" applyFont="1" applyFill="1" applyBorder="1" applyAlignment="1">
      <alignment vertical="top" wrapText="1"/>
    </xf>
    <xf numFmtId="2" fontId="0" fillId="7" borderId="71" xfId="0" applyNumberFormat="1" applyFont="1" applyFill="1" applyBorder="1" applyAlignment="1">
      <alignment vertical="top" wrapText="1"/>
    </xf>
    <xf numFmtId="2" fontId="0" fillId="7" borderId="53" xfId="0" applyNumberFormat="1" applyFont="1" applyFill="1" applyBorder="1" applyAlignment="1">
      <alignment vertical="top" wrapText="1"/>
    </xf>
    <xf numFmtId="2" fontId="0" fillId="7" borderId="54" xfId="0" applyNumberFormat="1" applyFont="1" applyFill="1" applyBorder="1" applyAlignment="1">
      <alignment vertical="top" wrapText="1"/>
    </xf>
    <xf numFmtId="2" fontId="0" fillId="9" borderId="72" xfId="0" applyNumberFormat="1" applyFont="1" applyFill="1" applyBorder="1" applyAlignment="1">
      <alignment vertical="top" wrapText="1"/>
    </xf>
    <xf numFmtId="2" fontId="0" fillId="9" borderId="53" xfId="0" applyNumberFormat="1" applyFont="1" applyFill="1" applyBorder="1" applyAlignment="1">
      <alignment vertical="top" wrapText="1"/>
    </xf>
    <xf numFmtId="2" fontId="0" fillId="9" borderId="54" xfId="0" applyNumberFormat="1" applyFont="1" applyFill="1" applyBorder="1" applyAlignment="1">
      <alignment vertical="top" wrapText="1"/>
    </xf>
    <xf numFmtId="2" fontId="0" fillId="7" borderId="72" xfId="0" applyNumberFormat="1" applyFont="1" applyFill="1" applyBorder="1" applyAlignment="1">
      <alignment vertical="top" wrapText="1"/>
    </xf>
    <xf numFmtId="0" fontId="0" fillId="0" borderId="0" xfId="0" applyNumberFormat="1" applyFont="1" applyAlignment="1">
      <alignment vertical="top" wrapText="1"/>
    </xf>
    <xf numFmtId="49" fontId="5" fillId="6" borderId="62" xfId="0" applyNumberFormat="1" applyFont="1" applyFill="1" applyBorder="1" applyAlignment="1">
      <alignment horizontal="center" vertical="top" wrapText="1"/>
    </xf>
    <xf numFmtId="49" fontId="15" fillId="3" borderId="62" xfId="0" applyNumberFormat="1" applyFont="1" applyFill="1" applyBorder="1" applyAlignment="1">
      <alignment horizontal="center" vertical="top" wrapText="1"/>
    </xf>
    <xf numFmtId="49" fontId="5" fillId="8" borderId="65" xfId="0" applyNumberFormat="1" applyFont="1" applyFill="1" applyBorder="1" applyAlignment="1">
      <alignment horizontal="right" vertical="top" wrapText="1"/>
    </xf>
    <xf numFmtId="0" fontId="0" fillId="7" borderId="66" xfId="0" applyNumberFormat="1" applyFont="1" applyFill="1" applyBorder="1" applyAlignment="1">
      <alignment vertical="top" wrapText="1"/>
    </xf>
    <xf numFmtId="3" fontId="0" fillId="9" borderId="69" xfId="0" applyNumberFormat="1" applyFont="1" applyFill="1" applyBorder="1" applyAlignment="1">
      <alignment vertical="top" wrapText="1"/>
    </xf>
    <xf numFmtId="3" fontId="15" fillId="5" borderId="69" xfId="0" applyNumberFormat="1" applyFont="1" applyFill="1" applyBorder="1" applyAlignment="1">
      <alignment vertical="top" wrapText="1"/>
    </xf>
    <xf numFmtId="3" fontId="16" fillId="5" borderId="69" xfId="0" applyNumberFormat="1" applyFont="1" applyFill="1" applyBorder="1" applyAlignment="1">
      <alignment vertical="top" wrapText="1"/>
    </xf>
    <xf numFmtId="49" fontId="5" fillId="8" borderId="70" xfId="0" applyNumberFormat="1" applyFont="1" applyFill="1" applyBorder="1" applyAlignment="1">
      <alignment horizontal="right" vertical="top" wrapText="1"/>
    </xf>
    <xf numFmtId="166" fontId="0" fillId="7" borderId="71" xfId="0" applyNumberFormat="1" applyFont="1" applyFill="1" applyBorder="1" applyAlignment="1">
      <alignment vertical="top" wrapText="1"/>
    </xf>
    <xf numFmtId="3" fontId="15" fillId="5" borderId="53" xfId="0" applyNumberFormat="1" applyFont="1" applyFill="1" applyBorder="1" applyAlignment="1">
      <alignment vertical="top" wrapText="1"/>
    </xf>
    <xf numFmtId="3" fontId="16" fillId="5" borderId="53" xfId="0" applyNumberFormat="1" applyFont="1" applyFill="1" applyBorder="1" applyAlignment="1">
      <alignment vertical="top" wrapText="1"/>
    </xf>
    <xf numFmtId="9" fontId="0" fillId="7" borderId="71" xfId="0" applyNumberFormat="1" applyFont="1" applyFill="1" applyBorder="1" applyAlignment="1">
      <alignment vertical="top" wrapText="1"/>
    </xf>
    <xf numFmtId="49" fontId="0" fillId="9" borderId="53" xfId="0" applyNumberFormat="1" applyFont="1" applyFill="1" applyBorder="1" applyAlignment="1">
      <alignment vertical="top" wrapText="1"/>
    </xf>
    <xf numFmtId="1" fontId="0" fillId="9" borderId="53" xfId="0" applyNumberFormat="1" applyFont="1" applyFill="1" applyBorder="1" applyAlignment="1">
      <alignment vertical="top" wrapText="1"/>
    </xf>
    <xf numFmtId="1" fontId="15" fillId="5" borderId="53" xfId="0" applyNumberFormat="1" applyFont="1" applyFill="1" applyBorder="1" applyAlignment="1">
      <alignment vertical="top" wrapText="1"/>
    </xf>
    <xf numFmtId="1" fontId="16" fillId="5" borderId="53" xfId="0" applyNumberFormat="1" applyFont="1" applyFill="1" applyBorder="1" applyAlignment="1">
      <alignment vertical="top" wrapText="1"/>
    </xf>
    <xf numFmtId="0" fontId="0" fillId="0" borderId="0" xfId="0" applyNumberFormat="1" applyFont="1" applyAlignment="1">
      <alignment vertical="top" wrapText="1"/>
    </xf>
    <xf numFmtId="0" fontId="5" fillId="11" borderId="53" xfId="0" applyFont="1" applyFill="1" applyBorder="1" applyAlignment="1">
      <alignment horizontal="center" vertical="top" wrapText="1"/>
    </xf>
    <xf numFmtId="49" fontId="5" fillId="11" borderId="53" xfId="0" applyNumberFormat="1" applyFont="1" applyFill="1" applyBorder="1" applyAlignment="1">
      <alignment horizontal="center" vertical="top" wrapText="1"/>
    </xf>
    <xf numFmtId="0" fontId="5" fillId="11" borderId="62" xfId="0" applyFont="1" applyFill="1" applyBorder="1" applyAlignment="1">
      <alignment vertical="top" wrapText="1"/>
    </xf>
    <xf numFmtId="0" fontId="0" fillId="4" borderId="66" xfId="0" applyFont="1" applyFill="1" applyBorder="1" applyAlignment="1">
      <alignment vertical="top" wrapText="1"/>
    </xf>
    <xf numFmtId="0" fontId="0" fillId="4" borderId="69" xfId="0" applyFont="1" applyFill="1" applyBorder="1" applyAlignment="1">
      <alignment vertical="top" wrapText="1"/>
    </xf>
    <xf numFmtId="3" fontId="0" fillId="4" borderId="69" xfId="0" applyNumberFormat="1" applyFont="1" applyFill="1" applyBorder="1" applyAlignment="1">
      <alignment vertical="top" wrapText="1"/>
    </xf>
    <xf numFmtId="49" fontId="0" fillId="4" borderId="71" xfId="0" applyNumberFormat="1" applyFont="1" applyFill="1" applyBorder="1" applyAlignment="1">
      <alignment vertical="top" wrapText="1"/>
    </xf>
    <xf numFmtId="0" fontId="0" fillId="4" borderId="53" xfId="0" applyFont="1" applyFill="1" applyBorder="1" applyAlignment="1">
      <alignment vertical="top" wrapText="1"/>
    </xf>
    <xf numFmtId="3" fontId="0" fillId="4" borderId="53" xfId="0" applyNumberFormat="1" applyFont="1" applyFill="1" applyBorder="1" applyAlignment="1">
      <alignment vertical="top" wrapText="1"/>
    </xf>
    <xf numFmtId="0" fontId="0" fillId="4" borderId="71" xfId="0" applyFont="1" applyFill="1" applyBorder="1" applyAlignment="1">
      <alignment vertical="top" wrapText="1"/>
    </xf>
    <xf numFmtId="49" fontId="0" fillId="4" borderId="53" xfId="0" applyNumberFormat="1" applyFont="1" applyFill="1" applyBorder="1" applyAlignment="1">
      <alignment vertical="top" wrapText="1"/>
    </xf>
    <xf numFmtId="0" fontId="0" fillId="0" borderId="0" xfId="0" applyNumberFormat="1" applyFont="1" applyAlignment="1">
      <alignment vertical="top" wrapText="1"/>
    </xf>
    <xf numFmtId="49" fontId="8" fillId="3" borderId="111" xfId="0" applyNumberFormat="1" applyFont="1" applyFill="1" applyBorder="1" applyAlignment="1">
      <alignment horizontal="center" vertical="top" wrapText="1"/>
    </xf>
    <xf numFmtId="49" fontId="8" fillId="3" borderId="62" xfId="0" applyNumberFormat="1" applyFont="1" applyFill="1" applyBorder="1" applyAlignment="1">
      <alignment horizontal="center" vertical="top" wrapText="1"/>
    </xf>
    <xf numFmtId="49" fontId="8" fillId="3" borderId="110" xfId="0" applyNumberFormat="1" applyFont="1" applyFill="1" applyBorder="1" applyAlignment="1">
      <alignment horizontal="center" vertical="top" wrapText="1"/>
    </xf>
    <xf numFmtId="49" fontId="8" fillId="2" borderId="111" xfId="0" applyNumberFormat="1" applyFont="1" applyFill="1" applyBorder="1" applyAlignment="1">
      <alignment horizontal="center" vertical="top" wrapText="1"/>
    </xf>
    <xf numFmtId="49" fontId="8" fillId="2" borderId="62" xfId="0" applyNumberFormat="1" applyFont="1" applyFill="1" applyBorder="1" applyAlignment="1">
      <alignment horizontal="center" vertical="top" wrapText="1"/>
    </xf>
    <xf numFmtId="49" fontId="8" fillId="2" borderId="110" xfId="0" applyNumberFormat="1" applyFont="1" applyFill="1" applyBorder="1" applyAlignment="1">
      <alignment horizontal="center" vertical="top" wrapText="1"/>
    </xf>
    <xf numFmtId="49" fontId="17" fillId="13" borderId="65" xfId="0" applyNumberFormat="1" applyFont="1" applyFill="1" applyBorder="1" applyAlignment="1">
      <alignment vertical="top" wrapText="1"/>
    </xf>
    <xf numFmtId="0" fontId="1" fillId="8" borderId="66" xfId="0" applyFont="1" applyFill="1" applyBorder="1" applyAlignment="1">
      <alignment vertical="top" wrapText="1"/>
    </xf>
    <xf numFmtId="0" fontId="1" fillId="9" borderId="69" xfId="0" applyFont="1" applyFill="1" applyBorder="1" applyAlignment="1">
      <alignment vertical="top" wrapText="1"/>
    </xf>
    <xf numFmtId="0" fontId="1" fillId="8" borderId="112" xfId="0" applyFont="1" applyFill="1" applyBorder="1" applyAlignment="1">
      <alignment vertical="top" wrapText="1"/>
    </xf>
    <xf numFmtId="0" fontId="1" fillId="7" borderId="113" xfId="0" applyFont="1" applyFill="1" applyBorder="1" applyAlignment="1">
      <alignment vertical="top" wrapText="1"/>
    </xf>
    <xf numFmtId="0" fontId="1" fillId="7" borderId="69" xfId="0" applyFont="1" applyFill="1" applyBorder="1" applyAlignment="1">
      <alignment vertical="top" wrapText="1"/>
    </xf>
    <xf numFmtId="0" fontId="1" fillId="7" borderId="112" xfId="0" applyFont="1" applyFill="1" applyBorder="1" applyAlignment="1">
      <alignment vertical="top" wrapText="1"/>
    </xf>
    <xf numFmtId="0" fontId="1" fillId="6" borderId="113" xfId="0" applyFont="1" applyFill="1" applyBorder="1" applyAlignment="1">
      <alignment vertical="top" wrapText="1"/>
    </xf>
    <xf numFmtId="0" fontId="1" fillId="6" borderId="69" xfId="0" applyFont="1" applyFill="1" applyBorder="1" applyAlignment="1">
      <alignment vertical="top" wrapText="1"/>
    </xf>
    <xf numFmtId="0" fontId="1" fillId="6" borderId="112" xfId="0" applyFont="1" applyFill="1" applyBorder="1" applyAlignment="1">
      <alignment vertical="top" wrapText="1"/>
    </xf>
    <xf numFmtId="0" fontId="17" fillId="13" borderId="70" xfId="0" applyFont="1" applyFill="1" applyBorder="1" applyAlignment="1">
      <alignment horizontal="right" vertical="top" wrapText="1"/>
    </xf>
    <xf numFmtId="0" fontId="1" fillId="8" borderId="71" xfId="0" applyFont="1" applyFill="1" applyBorder="1" applyAlignment="1">
      <alignment vertical="top" wrapText="1"/>
    </xf>
    <xf numFmtId="49" fontId="1" fillId="9" borderId="53" xfId="0" applyNumberFormat="1" applyFont="1" applyFill="1" applyBorder="1" applyAlignment="1">
      <alignment vertical="top" wrapText="1"/>
    </xf>
    <xf numFmtId="49" fontId="1" fillId="8" borderId="107" xfId="0" applyNumberFormat="1" applyFont="1" applyFill="1" applyBorder="1" applyAlignment="1">
      <alignment vertical="top" wrapText="1"/>
    </xf>
    <xf numFmtId="49" fontId="1" fillId="7" borderId="114" xfId="0" applyNumberFormat="1" applyFont="1" applyFill="1" applyBorder="1" applyAlignment="1">
      <alignment vertical="top" wrapText="1"/>
    </xf>
    <xf numFmtId="0" fontId="1" fillId="7" borderId="53" xfId="0" applyFont="1" applyFill="1" applyBorder="1" applyAlignment="1">
      <alignment vertical="top" wrapText="1"/>
    </xf>
    <xf numFmtId="0" fontId="1" fillId="7" borderId="107" xfId="0" applyFont="1" applyFill="1" applyBorder="1" applyAlignment="1">
      <alignment vertical="top" wrapText="1"/>
    </xf>
    <xf numFmtId="0" fontId="1" fillId="6" borderId="114" xfId="0" applyFont="1" applyFill="1" applyBorder="1" applyAlignment="1">
      <alignment vertical="top" wrapText="1"/>
    </xf>
    <xf numFmtId="0" fontId="1" fillId="6" borderId="53" xfId="0" applyFont="1" applyFill="1" applyBorder="1" applyAlignment="1">
      <alignment vertical="top" wrapText="1"/>
    </xf>
    <xf numFmtId="0" fontId="1" fillId="6" borderId="107" xfId="0" applyFont="1" applyFill="1" applyBorder="1" applyAlignment="1">
      <alignment vertical="top" wrapText="1"/>
    </xf>
    <xf numFmtId="0" fontId="1" fillId="7" borderId="114" xfId="0" applyFont="1" applyFill="1" applyBorder="1" applyAlignment="1">
      <alignment vertical="top" wrapText="1"/>
    </xf>
    <xf numFmtId="0" fontId="1" fillId="8" borderId="107" xfId="0" applyNumberFormat="1" applyFont="1" applyFill="1" applyBorder="1" applyAlignment="1">
      <alignment vertical="top" wrapText="1"/>
    </xf>
    <xf numFmtId="0" fontId="1" fillId="7" borderId="114" xfId="0" applyNumberFormat="1" applyFont="1" applyFill="1" applyBorder="1" applyAlignment="1">
      <alignment vertical="top" wrapText="1"/>
    </xf>
    <xf numFmtId="0" fontId="1" fillId="7" borderId="53" xfId="0" applyNumberFormat="1" applyFont="1" applyFill="1" applyBorder="1" applyAlignment="1">
      <alignment vertical="top" wrapText="1"/>
    </xf>
    <xf numFmtId="0" fontId="1" fillId="7" borderId="107" xfId="0" applyNumberFormat="1" applyFont="1" applyFill="1" applyBorder="1" applyAlignment="1">
      <alignment vertical="top" wrapText="1"/>
    </xf>
    <xf numFmtId="0" fontId="1" fillId="6" borderId="114" xfId="0" applyNumberFormat="1" applyFont="1" applyFill="1" applyBorder="1" applyAlignment="1">
      <alignment vertical="top" wrapText="1"/>
    </xf>
    <xf numFmtId="0" fontId="1" fillId="6" borderId="53" xfId="0" applyNumberFormat="1" applyFont="1" applyFill="1" applyBorder="1" applyAlignment="1">
      <alignment vertical="top" wrapText="1"/>
    </xf>
    <xf numFmtId="0" fontId="1" fillId="6" borderId="107" xfId="0" applyNumberFormat="1" applyFont="1" applyFill="1" applyBorder="1" applyAlignment="1">
      <alignment vertical="top" wrapText="1"/>
    </xf>
    <xf numFmtId="49" fontId="1" fillId="9" borderId="100" xfId="0" applyNumberFormat="1" applyFont="1" applyFill="1" applyBorder="1" applyAlignment="1">
      <alignment vertical="top" wrapText="1"/>
    </xf>
    <xf numFmtId="0" fontId="0" fillId="8" borderId="109" xfId="0" applyFont="1" applyFill="1" applyBorder="1" applyAlignment="1">
      <alignment vertical="top" wrapText="1"/>
    </xf>
    <xf numFmtId="3" fontId="1" fillId="7" borderId="114" xfId="0" applyNumberFormat="1" applyFont="1" applyFill="1" applyBorder="1" applyAlignment="1">
      <alignment vertical="top" wrapText="1"/>
    </xf>
    <xf numFmtId="3" fontId="1" fillId="7" borderId="53" xfId="0" applyNumberFormat="1" applyFont="1" applyFill="1" applyBorder="1" applyAlignment="1">
      <alignment vertical="top" wrapText="1"/>
    </xf>
    <xf numFmtId="3" fontId="1" fillId="7" borderId="107" xfId="0" applyNumberFormat="1" applyFont="1" applyFill="1" applyBorder="1" applyAlignment="1">
      <alignment vertical="top" wrapText="1"/>
    </xf>
    <xf numFmtId="3" fontId="1" fillId="6" borderId="114" xfId="0" applyNumberFormat="1" applyFont="1" applyFill="1" applyBorder="1" applyAlignment="1">
      <alignment vertical="top" wrapText="1"/>
    </xf>
    <xf numFmtId="3" fontId="1" fillId="6" borderId="53" xfId="0" applyNumberFormat="1" applyFont="1" applyFill="1" applyBorder="1" applyAlignment="1">
      <alignment vertical="top" wrapText="1"/>
    </xf>
    <xf numFmtId="3" fontId="1" fillId="6" borderId="107" xfId="0" applyNumberFormat="1" applyFont="1" applyFill="1" applyBorder="1" applyAlignment="1">
      <alignment vertical="top" wrapText="1"/>
    </xf>
    <xf numFmtId="49" fontId="1" fillId="8" borderId="71" xfId="0" applyNumberFormat="1" applyFont="1" applyFill="1" applyBorder="1" applyAlignment="1">
      <alignment vertical="top" wrapText="1"/>
    </xf>
    <xf numFmtId="0" fontId="1" fillId="9" borderId="53" xfId="0" applyFont="1" applyFill="1" applyBorder="1" applyAlignment="1">
      <alignment vertical="top" wrapText="1"/>
    </xf>
    <xf numFmtId="0" fontId="1" fillId="9" borderId="53" xfId="0" applyNumberFormat="1" applyFont="1" applyFill="1" applyBorder="1" applyAlignment="1">
      <alignment vertical="top" wrapText="1"/>
    </xf>
    <xf numFmtId="49" fontId="17" fillId="13" borderId="70" xfId="0" applyNumberFormat="1" applyFont="1" applyFill="1" applyBorder="1" applyAlignment="1">
      <alignment vertical="top" wrapText="1"/>
    </xf>
    <xf numFmtId="0" fontId="1" fillId="8" borderId="107" xfId="0" applyFont="1" applyFill="1" applyBorder="1" applyAlignment="1">
      <alignment vertical="top" wrapText="1"/>
    </xf>
    <xf numFmtId="49" fontId="17" fillId="13" borderId="70" xfId="0" applyNumberFormat="1" applyFont="1" applyFill="1" applyBorder="1" applyAlignment="1">
      <alignment horizontal="right" vertical="top" wrapText="1"/>
    </xf>
    <xf numFmtId="0" fontId="17" fillId="13" borderId="70" xfId="0" applyFont="1" applyFill="1" applyBorder="1" applyAlignment="1">
      <alignment vertical="top" wrapText="1"/>
    </xf>
    <xf numFmtId="3" fontId="1" fillId="15" borderId="114" xfId="0" applyNumberFormat="1" applyFont="1" applyFill="1" applyBorder="1" applyAlignment="1">
      <alignment vertical="top" wrapText="1"/>
    </xf>
    <xf numFmtId="3" fontId="1" fillId="15" borderId="53" xfId="0" applyNumberFormat="1" applyFont="1" applyFill="1" applyBorder="1" applyAlignment="1">
      <alignment vertical="top" wrapText="1"/>
    </xf>
    <xf numFmtId="3" fontId="1" fillId="15" borderId="107" xfId="0" applyNumberFormat="1" applyFont="1" applyFill="1" applyBorder="1" applyAlignment="1">
      <alignment vertical="top" wrapText="1"/>
    </xf>
    <xf numFmtId="3" fontId="1" fillId="15" borderId="125" xfId="0" applyNumberFormat="1" applyFont="1" applyFill="1" applyBorder="1" applyAlignment="1">
      <alignment vertical="top" wrapText="1"/>
    </xf>
    <xf numFmtId="3" fontId="1" fillId="15" borderId="126" xfId="0" applyNumberFormat="1" applyFont="1" applyFill="1" applyBorder="1" applyAlignment="1">
      <alignment vertical="top" wrapText="1"/>
    </xf>
    <xf numFmtId="3" fontId="1" fillId="15" borderId="127" xfId="0" applyNumberFormat="1" applyFont="1" applyFill="1" applyBorder="1" applyAlignment="1">
      <alignment vertical="top" wrapText="1"/>
    </xf>
    <xf numFmtId="0" fontId="0" fillId="0" borderId="0" xfId="0" applyNumberFormat="1" applyFont="1" applyAlignment="1">
      <alignment vertical="top" wrapText="1"/>
    </xf>
    <xf numFmtId="49" fontId="5" fillId="13" borderId="65" xfId="0" applyNumberFormat="1" applyFont="1" applyFill="1" applyBorder="1" applyAlignment="1">
      <alignment horizontal="center" vertical="top" wrapText="1"/>
    </xf>
    <xf numFmtId="49" fontId="4" fillId="12" borderId="66" xfId="0" applyNumberFormat="1" applyFont="1" applyFill="1" applyBorder="1" applyAlignment="1">
      <alignment vertical="top" wrapText="1"/>
    </xf>
    <xf numFmtId="49" fontId="4" fillId="12" borderId="69" xfId="0" applyNumberFormat="1" applyFont="1" applyFill="1" applyBorder="1" applyAlignment="1">
      <alignment vertical="top" wrapText="1"/>
    </xf>
    <xf numFmtId="49" fontId="4" fillId="3" borderId="69" xfId="0" applyNumberFormat="1" applyFont="1" applyFill="1" applyBorder="1" applyAlignment="1">
      <alignment vertical="top" wrapText="1"/>
    </xf>
    <xf numFmtId="3" fontId="0" fillId="8" borderId="71" xfId="0" applyNumberFormat="1" applyFont="1" applyFill="1" applyBorder="1" applyAlignment="1">
      <alignment vertical="top" wrapText="1"/>
    </xf>
    <xf numFmtId="3" fontId="0" fillId="7" borderId="53" xfId="0" applyNumberFormat="1" applyFont="1" applyFill="1" applyBorder="1" applyAlignment="1">
      <alignment vertical="top" wrapText="1"/>
    </xf>
    <xf numFmtId="0" fontId="0" fillId="0" borderId="0" xfId="0" applyNumberFormat="1" applyFont="1" applyAlignment="1">
      <alignment vertical="top" wrapText="1"/>
    </xf>
    <xf numFmtId="49" fontId="3" fillId="3" borderId="62" xfId="0" applyNumberFormat="1" applyFont="1" applyFill="1" applyBorder="1" applyAlignment="1">
      <alignment horizontal="center" vertical="top" wrapText="1"/>
    </xf>
    <xf numFmtId="49" fontId="3" fillId="2" borderId="62" xfId="0" applyNumberFormat="1" applyFont="1" applyFill="1" applyBorder="1" applyAlignment="1">
      <alignment horizontal="center" vertical="top" wrapText="1"/>
    </xf>
    <xf numFmtId="49" fontId="5" fillId="13" borderId="65" xfId="0" applyNumberFormat="1" applyFont="1" applyFill="1" applyBorder="1" applyAlignment="1">
      <alignment horizontal="left" vertical="top" wrapText="1"/>
    </xf>
    <xf numFmtId="49" fontId="5" fillId="8" borderId="66" xfId="0" applyNumberFormat="1" applyFont="1" applyFill="1" applyBorder="1" applyAlignment="1">
      <alignment vertical="top" wrapText="1"/>
    </xf>
    <xf numFmtId="0" fontId="0" fillId="7" borderId="69" xfId="0" applyNumberFormat="1" applyFont="1" applyFill="1" applyBorder="1" applyAlignment="1">
      <alignment vertical="top" wrapText="1"/>
    </xf>
    <xf numFmtId="0" fontId="0" fillId="6" borderId="69" xfId="0" applyNumberFormat="1" applyFont="1" applyFill="1" applyBorder="1" applyAlignment="1">
      <alignment vertical="top" wrapText="1"/>
    </xf>
    <xf numFmtId="0" fontId="0" fillId="6" borderId="69" xfId="0" applyFont="1" applyFill="1" applyBorder="1" applyAlignment="1">
      <alignment vertical="top" wrapText="1"/>
    </xf>
    <xf numFmtId="49" fontId="5" fillId="13" borderId="70" xfId="0" applyNumberFormat="1" applyFont="1" applyFill="1" applyBorder="1" applyAlignment="1">
      <alignment horizontal="left" vertical="top" wrapText="1"/>
    </xf>
    <xf numFmtId="0" fontId="0" fillId="8" borderId="71" xfId="0" applyFont="1" applyFill="1" applyBorder="1" applyAlignment="1">
      <alignment vertical="top" wrapText="1"/>
    </xf>
    <xf numFmtId="0" fontId="0" fillId="7" borderId="53" xfId="0" applyFont="1" applyFill="1" applyBorder="1" applyAlignment="1">
      <alignment vertical="top" wrapText="1"/>
    </xf>
    <xf numFmtId="0" fontId="0" fillId="6" borderId="53" xfId="0" applyFont="1" applyFill="1" applyBorder="1" applyAlignment="1">
      <alignment vertical="top" wrapText="1"/>
    </xf>
    <xf numFmtId="49" fontId="0" fillId="8" borderId="71" xfId="0" applyNumberFormat="1" applyFont="1" applyFill="1" applyBorder="1" applyAlignment="1">
      <alignment vertical="top" wrapText="1"/>
    </xf>
    <xf numFmtId="0" fontId="0" fillId="7" borderId="53" xfId="0" applyNumberFormat="1" applyFont="1" applyFill="1" applyBorder="1" applyAlignment="1">
      <alignment vertical="top" wrapText="1"/>
    </xf>
    <xf numFmtId="0" fontId="0" fillId="6" borderId="53" xfId="0" applyNumberFormat="1" applyFont="1" applyFill="1" applyBorder="1" applyAlignment="1">
      <alignment vertical="top" wrapText="1"/>
    </xf>
    <xf numFmtId="3" fontId="0" fillId="6" borderId="53" xfId="0" applyNumberFormat="1" applyFont="1" applyFill="1" applyBorder="1" applyAlignment="1">
      <alignment vertical="top" wrapText="1"/>
    </xf>
    <xf numFmtId="4" fontId="0" fillId="15" borderId="53" xfId="0" applyNumberFormat="1" applyFont="1" applyFill="1" applyBorder="1" applyAlignment="1">
      <alignment vertical="top" wrapText="1"/>
    </xf>
    <xf numFmtId="0" fontId="0" fillId="0" borderId="0" xfId="0" applyNumberFormat="1" applyFont="1" applyAlignment="1">
      <alignment vertical="top" wrapText="1"/>
    </xf>
    <xf numFmtId="49" fontId="3" fillId="3" borderId="111" xfId="0" applyNumberFormat="1" applyFont="1" applyFill="1" applyBorder="1" applyAlignment="1">
      <alignment horizontal="center" vertical="top" wrapText="1"/>
    </xf>
    <xf numFmtId="49" fontId="3" fillId="3" borderId="110" xfId="0" applyNumberFormat="1" applyFont="1" applyFill="1" applyBorder="1" applyAlignment="1">
      <alignment horizontal="center" vertical="top" wrapText="1"/>
    </xf>
    <xf numFmtId="49" fontId="3" fillId="12" borderId="111" xfId="0" applyNumberFormat="1" applyFont="1" applyFill="1" applyBorder="1" applyAlignment="1">
      <alignment horizontal="center" vertical="top" wrapText="1"/>
    </xf>
    <xf numFmtId="49" fontId="3" fillId="12" borderId="62" xfId="0" applyNumberFormat="1" applyFont="1" applyFill="1" applyBorder="1" applyAlignment="1">
      <alignment horizontal="center" vertical="top" wrapText="1"/>
    </xf>
    <xf numFmtId="49" fontId="3" fillId="12" borderId="110" xfId="0" applyNumberFormat="1" applyFont="1" applyFill="1" applyBorder="1" applyAlignment="1">
      <alignment horizontal="center" vertical="top" wrapText="1"/>
    </xf>
    <xf numFmtId="49" fontId="5" fillId="13" borderId="65" xfId="0" applyNumberFormat="1" applyFont="1" applyFill="1" applyBorder="1" applyAlignment="1">
      <alignment horizontal="right" vertical="top" wrapText="1"/>
    </xf>
    <xf numFmtId="0" fontId="0" fillId="6" borderId="66" xfId="0" applyFont="1" applyFill="1" applyBorder="1" applyAlignment="1">
      <alignment vertical="top" wrapText="1"/>
    </xf>
    <xf numFmtId="0" fontId="15" fillId="17" borderId="112" xfId="0" applyFont="1" applyFill="1" applyBorder="1" applyAlignment="1">
      <alignment vertical="top" wrapText="1"/>
    </xf>
    <xf numFmtId="0" fontId="0" fillId="7" borderId="113" xfId="0" applyNumberFormat="1" applyFont="1" applyFill="1" applyBorder="1" applyAlignment="1">
      <alignment vertical="top" wrapText="1"/>
    </xf>
    <xf numFmtId="0" fontId="0" fillId="7" borderId="112" xfId="0" applyNumberFormat="1" applyFont="1" applyFill="1" applyBorder="1" applyAlignment="1">
      <alignment vertical="top" wrapText="1"/>
    </xf>
    <xf numFmtId="0" fontId="0" fillId="8" borderId="113" xfId="0" applyNumberFormat="1" applyFont="1" applyFill="1" applyBorder="1" applyAlignment="1">
      <alignment vertical="top" wrapText="1"/>
    </xf>
    <xf numFmtId="0" fontId="0" fillId="8" borderId="69" xfId="0" applyNumberFormat="1" applyFont="1" applyFill="1" applyBorder="1" applyAlignment="1">
      <alignment vertical="top" wrapText="1"/>
    </xf>
    <xf numFmtId="0" fontId="0" fillId="8" borderId="112" xfId="0" applyNumberFormat="1" applyFont="1" applyFill="1" applyBorder="1" applyAlignment="1">
      <alignment vertical="top" wrapText="1"/>
    </xf>
    <xf numFmtId="0" fontId="0" fillId="6" borderId="71" xfId="0" applyFont="1" applyFill="1" applyBorder="1" applyAlignment="1">
      <alignment vertical="top" wrapText="1"/>
    </xf>
    <xf numFmtId="0" fontId="15" fillId="17" borderId="107" xfId="0" applyFont="1" applyFill="1" applyBorder="1" applyAlignment="1">
      <alignment vertical="top" wrapText="1"/>
    </xf>
    <xf numFmtId="3" fontId="0" fillId="7" borderId="114" xfId="0" applyNumberFormat="1" applyFont="1" applyFill="1" applyBorder="1" applyAlignment="1">
      <alignment vertical="top" wrapText="1"/>
    </xf>
    <xf numFmtId="3" fontId="0" fillId="7" borderId="107" xfId="0" applyNumberFormat="1" applyFont="1" applyFill="1" applyBorder="1" applyAlignment="1">
      <alignment vertical="top" wrapText="1"/>
    </xf>
    <xf numFmtId="3" fontId="0" fillId="8" borderId="114" xfId="0" applyNumberFormat="1" applyFont="1" applyFill="1" applyBorder="1" applyAlignment="1">
      <alignment vertical="top" wrapText="1"/>
    </xf>
    <xf numFmtId="3" fontId="0" fillId="8" borderId="107" xfId="0" applyNumberFormat="1" applyFont="1" applyFill="1" applyBorder="1" applyAlignment="1">
      <alignment vertical="top" wrapText="1"/>
    </xf>
    <xf numFmtId="0" fontId="0" fillId="7" borderId="114" xfId="0" applyFont="1" applyFill="1" applyBorder="1" applyAlignment="1">
      <alignment vertical="top" wrapText="1"/>
    </xf>
    <xf numFmtId="0" fontId="0" fillId="7" borderId="107" xfId="0" applyFont="1" applyFill="1" applyBorder="1" applyAlignment="1">
      <alignment vertical="top" wrapText="1"/>
    </xf>
    <xf numFmtId="0" fontId="0" fillId="8" borderId="114" xfId="0" applyFont="1" applyFill="1" applyBorder="1" applyAlignment="1">
      <alignment vertical="top" wrapText="1"/>
    </xf>
    <xf numFmtId="0" fontId="0" fillId="8" borderId="107" xfId="0" applyFont="1" applyFill="1" applyBorder="1" applyAlignment="1">
      <alignment vertical="top" wrapText="1"/>
    </xf>
    <xf numFmtId="49" fontId="0" fillId="6" borderId="71" xfId="0" applyNumberFormat="1" applyFont="1" applyFill="1" applyBorder="1" applyAlignment="1">
      <alignment vertical="top" wrapText="1"/>
    </xf>
    <xf numFmtId="0" fontId="0" fillId="7" borderId="114" xfId="0" applyNumberFormat="1" applyFont="1" applyFill="1" applyBorder="1" applyAlignment="1">
      <alignment vertical="top" wrapText="1"/>
    </xf>
    <xf numFmtId="0" fontId="0" fillId="7" borderId="107" xfId="0" applyNumberFormat="1" applyFont="1" applyFill="1" applyBorder="1" applyAlignment="1">
      <alignment vertical="top" wrapText="1"/>
    </xf>
    <xf numFmtId="0" fontId="0" fillId="8" borderId="114" xfId="0" applyNumberFormat="1" applyFont="1" applyFill="1" applyBorder="1" applyAlignment="1">
      <alignment vertical="top" wrapText="1"/>
    </xf>
    <xf numFmtId="0" fontId="0" fillId="8" borderId="107" xfId="0" applyNumberFormat="1" applyFont="1" applyFill="1" applyBorder="1" applyAlignment="1">
      <alignment vertical="top" wrapText="1"/>
    </xf>
    <xf numFmtId="0" fontId="15" fillId="17" borderId="107" xfId="0" applyNumberFormat="1" applyFont="1" applyFill="1" applyBorder="1" applyAlignment="1">
      <alignment vertical="top" wrapText="1"/>
    </xf>
    <xf numFmtId="3" fontId="15" fillId="18" borderId="114" xfId="0" applyNumberFormat="1" applyFont="1" applyFill="1" applyBorder="1" applyAlignment="1">
      <alignment vertical="top" wrapText="1"/>
    </xf>
    <xf numFmtId="3" fontId="15" fillId="18" borderId="53" xfId="0" applyNumberFormat="1" applyFont="1" applyFill="1" applyBorder="1" applyAlignment="1">
      <alignment vertical="top" wrapText="1"/>
    </xf>
    <xf numFmtId="3" fontId="15" fillId="18" borderId="107" xfId="0" applyNumberFormat="1" applyFont="1" applyFill="1" applyBorder="1" applyAlignment="1">
      <alignment vertical="top" wrapText="1"/>
    </xf>
    <xf numFmtId="3" fontId="15" fillId="19" borderId="125" xfId="0" applyNumberFormat="1" applyFont="1" applyFill="1" applyBorder="1" applyAlignment="1">
      <alignment vertical="top" wrapText="1"/>
    </xf>
    <xf numFmtId="3" fontId="15" fillId="19" borderId="126" xfId="0" applyNumberFormat="1" applyFont="1" applyFill="1" applyBorder="1" applyAlignment="1">
      <alignment vertical="top" wrapText="1"/>
    </xf>
    <xf numFmtId="3" fontId="15" fillId="19" borderId="127" xfId="0" applyNumberFormat="1" applyFont="1" applyFill="1" applyBorder="1" applyAlignment="1">
      <alignment vertical="top" wrapText="1"/>
    </xf>
    <xf numFmtId="3" fontId="15" fillId="19" borderId="114" xfId="0" applyNumberFormat="1" applyFont="1" applyFill="1" applyBorder="1" applyAlignment="1">
      <alignment vertical="top" wrapText="1"/>
    </xf>
    <xf numFmtId="3" fontId="15" fillId="19" borderId="53" xfId="0" applyNumberFormat="1" applyFont="1" applyFill="1" applyBorder="1" applyAlignment="1">
      <alignment vertical="top" wrapText="1"/>
    </xf>
    <xf numFmtId="3" fontId="15" fillId="19" borderId="107" xfId="0" applyNumberFormat="1" applyFont="1" applyFill="1" applyBorder="1" applyAlignment="1">
      <alignment vertical="top" wrapText="1"/>
    </xf>
    <xf numFmtId="0" fontId="0" fillId="0" borderId="0" xfId="0" applyNumberFormat="1" applyFont="1" applyAlignment="1">
      <alignment vertical="top" wrapText="1"/>
    </xf>
    <xf numFmtId="49" fontId="15" fillId="2" borderId="62" xfId="0" applyNumberFormat="1" applyFont="1" applyFill="1" applyBorder="1" applyAlignment="1">
      <alignment horizontal="center" vertical="top" wrapText="1"/>
    </xf>
    <xf numFmtId="49" fontId="0" fillId="8" borderId="66" xfId="0" applyNumberFormat="1" applyFont="1" applyFill="1" applyBorder="1" applyAlignment="1">
      <alignment vertical="top" wrapText="1"/>
    </xf>
    <xf numFmtId="0" fontId="0" fillId="7" borderId="69" xfId="0" applyFont="1" applyFill="1" applyBorder="1" applyAlignment="1">
      <alignment vertical="top" wrapText="1"/>
    </xf>
    <xf numFmtId="10" fontId="0" fillId="9" borderId="53" xfId="0" applyNumberFormat="1" applyFont="1" applyFill="1" applyBorder="1" applyAlignment="1">
      <alignment vertical="top" wrapText="1"/>
    </xf>
    <xf numFmtId="0" fontId="0" fillId="0" borderId="0" xfId="0" applyNumberFormat="1" applyFont="1" applyAlignment="1">
      <alignment vertical="top" wrapText="1"/>
    </xf>
    <xf numFmtId="49" fontId="4" fillId="5" borderId="1" xfId="0" applyNumberFormat="1" applyFont="1" applyFill="1" applyBorder="1" applyAlignment="1">
      <alignment horizontal="center" vertical="top" wrapText="1"/>
    </xf>
    <xf numFmtId="0" fontId="0" fillId="4" borderId="1" xfId="0" applyFont="1" applyFill="1" applyBorder="1" applyAlignment="1">
      <alignment vertical="top" wrapText="1"/>
    </xf>
    <xf numFmtId="2" fontId="0" fillId="6" borderId="19" xfId="0" applyNumberFormat="1" applyFont="1" applyFill="1" applyBorder="1" applyAlignment="1">
      <alignment vertical="top" wrapText="1"/>
    </xf>
    <xf numFmtId="0" fontId="0" fillId="4" borderId="22" xfId="0" applyFont="1" applyFill="1" applyBorder="1" applyAlignment="1">
      <alignment vertical="top" wrapText="1"/>
    </xf>
    <xf numFmtId="0" fontId="0" fillId="6" borderId="14" xfId="0" applyNumberFormat="1" applyFont="1" applyFill="1" applyBorder="1" applyAlignment="1">
      <alignment horizontal="center" vertical="top" wrapText="1"/>
    </xf>
    <xf numFmtId="0" fontId="0" fillId="4" borderId="15" xfId="0" applyFont="1" applyFill="1" applyBorder="1" applyAlignment="1">
      <alignment horizontal="center" vertical="top" wrapText="1"/>
    </xf>
    <xf numFmtId="49" fontId="8" fillId="2" borderId="42" xfId="0" applyNumberFormat="1" applyFont="1" applyFill="1" applyBorder="1" applyAlignment="1">
      <alignment horizontal="center" vertical="center" wrapText="1"/>
    </xf>
    <xf numFmtId="0" fontId="0" fillId="4" borderId="43" xfId="0" applyFont="1" applyFill="1" applyBorder="1" applyAlignment="1">
      <alignment vertical="top" wrapText="1"/>
    </xf>
    <xf numFmtId="0" fontId="0" fillId="4" borderId="44" xfId="0" applyFont="1" applyFill="1" applyBorder="1" applyAlignment="1">
      <alignment vertical="top" wrapText="1"/>
    </xf>
    <xf numFmtId="2" fontId="0" fillId="6" borderId="14" xfId="0" applyNumberFormat="1" applyFont="1" applyFill="1" applyBorder="1" applyAlignment="1">
      <alignment vertical="top" wrapText="1"/>
    </xf>
    <xf numFmtId="0" fontId="0" fillId="4" borderId="17" xfId="0" applyFont="1" applyFill="1" applyBorder="1" applyAlignment="1">
      <alignment vertical="top" wrapText="1"/>
    </xf>
    <xf numFmtId="49" fontId="8" fillId="2" borderId="29" xfId="0" applyNumberFormat="1" applyFont="1" applyFill="1" applyBorder="1" applyAlignment="1">
      <alignment horizontal="center" vertical="center" wrapText="1"/>
    </xf>
    <xf numFmtId="0" fontId="9" fillId="4" borderId="30" xfId="0" applyFont="1" applyFill="1" applyBorder="1" applyAlignment="1">
      <alignment horizontal="center" vertical="center" wrapText="1"/>
    </xf>
    <xf numFmtId="0" fontId="9" fillId="4" borderId="31" xfId="0" applyFont="1" applyFill="1" applyBorder="1" applyAlignment="1">
      <alignment horizontal="center" vertical="center" wrapText="1"/>
    </xf>
    <xf numFmtId="49" fontId="6" fillId="3" borderId="14"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5" fillId="4" borderId="10" xfId="0" applyFont="1" applyFill="1" applyBorder="1" applyAlignment="1">
      <alignment horizontal="left" vertical="top" wrapText="1"/>
    </xf>
    <xf numFmtId="0" fontId="5" fillId="4" borderId="11" xfId="0" applyFont="1" applyFill="1" applyBorder="1" applyAlignment="1">
      <alignment horizontal="left" vertical="top" wrapText="1"/>
    </xf>
    <xf numFmtId="49" fontId="4" fillId="3" borderId="1" xfId="0" applyNumberFormat="1" applyFont="1" applyFill="1" applyBorder="1" applyAlignment="1">
      <alignment horizontal="center" vertical="top" wrapText="1"/>
    </xf>
    <xf numFmtId="0" fontId="0" fillId="6" borderId="19" xfId="0" applyFont="1" applyFill="1" applyBorder="1" applyAlignment="1">
      <alignment horizontal="center" vertical="top" wrapText="1"/>
    </xf>
    <xf numFmtId="0" fontId="0" fillId="4" borderId="20" xfId="0" applyFont="1" applyFill="1" applyBorder="1" applyAlignment="1">
      <alignment horizontal="center" vertical="top" wrapText="1"/>
    </xf>
    <xf numFmtId="49" fontId="3" fillId="2" borderId="1" xfId="0" applyNumberFormat="1" applyFont="1" applyFill="1" applyBorder="1" applyAlignment="1">
      <alignment horizontal="center" vertical="center" wrapText="1"/>
    </xf>
    <xf numFmtId="0" fontId="0" fillId="6" borderId="14" xfId="0" applyNumberFormat="1" applyFont="1" applyFill="1" applyBorder="1" applyAlignment="1">
      <alignment vertical="top" wrapText="1"/>
    </xf>
    <xf numFmtId="49" fontId="5" fillId="13" borderId="73" xfId="0" applyNumberFormat="1" applyFont="1" applyFill="1" applyBorder="1" applyAlignment="1">
      <alignment horizontal="right" vertical="top" wrapText="1"/>
    </xf>
    <xf numFmtId="0" fontId="0" fillId="4" borderId="74" xfId="0" applyFont="1" applyFill="1" applyBorder="1" applyAlignment="1">
      <alignment vertical="top" wrapText="1"/>
    </xf>
    <xf numFmtId="49" fontId="1" fillId="4" borderId="49" xfId="0" applyNumberFormat="1" applyFont="1" applyFill="1" applyBorder="1" applyAlignment="1">
      <alignment horizontal="center" vertical="center"/>
    </xf>
    <xf numFmtId="0" fontId="0" fillId="4" borderId="50" xfId="0" applyFont="1" applyFill="1" applyBorder="1" applyAlignment="1">
      <alignment vertical="top" wrapText="1"/>
    </xf>
    <xf numFmtId="0" fontId="0" fillId="4" borderId="51" xfId="0" applyFont="1" applyFill="1" applyBorder="1" applyAlignment="1">
      <alignment vertical="top" wrapText="1"/>
    </xf>
    <xf numFmtId="0" fontId="0" fillId="4" borderId="52" xfId="0" applyFont="1" applyFill="1" applyBorder="1" applyAlignment="1">
      <alignment vertical="top" wrapText="1"/>
    </xf>
    <xf numFmtId="49" fontId="5" fillId="6" borderId="76" xfId="0" applyNumberFormat="1" applyFont="1" applyFill="1" applyBorder="1" applyAlignment="1">
      <alignment horizontal="right" vertical="top" wrapText="1"/>
    </xf>
    <xf numFmtId="0" fontId="0" fillId="4" borderId="60" xfId="0" applyFont="1" applyFill="1" applyBorder="1" applyAlignment="1">
      <alignment vertical="top" wrapText="1"/>
    </xf>
    <xf numFmtId="0" fontId="0" fillId="4" borderId="58" xfId="0" applyFont="1" applyFill="1" applyBorder="1" applyAlignment="1">
      <alignment vertical="top" wrapText="1"/>
    </xf>
    <xf numFmtId="0" fontId="0" fillId="4" borderId="59" xfId="0" applyFont="1" applyFill="1" applyBorder="1" applyAlignment="1">
      <alignment vertical="top" wrapText="1"/>
    </xf>
    <xf numFmtId="0" fontId="0" fillId="4" borderId="61" xfId="0" applyFont="1" applyFill="1" applyBorder="1" applyAlignment="1">
      <alignment vertical="top" wrapText="1"/>
    </xf>
    <xf numFmtId="49" fontId="5" fillId="6" borderId="25" xfId="0" applyNumberFormat="1" applyFont="1" applyFill="1" applyBorder="1" applyAlignment="1">
      <alignment horizontal="right" vertical="top" wrapText="1"/>
    </xf>
    <xf numFmtId="0" fontId="0" fillId="4" borderId="25" xfId="0" applyFont="1" applyFill="1" applyBorder="1" applyAlignment="1">
      <alignment vertical="top" wrapText="1"/>
    </xf>
    <xf numFmtId="49" fontId="5" fillId="10" borderId="54" xfId="0" applyNumberFormat="1" applyFont="1" applyFill="1" applyBorder="1" applyAlignment="1">
      <alignment horizontal="center" vertical="top" wrapText="1"/>
    </xf>
    <xf numFmtId="0" fontId="0" fillId="4" borderId="63" xfId="0" applyFont="1" applyFill="1" applyBorder="1" applyAlignment="1">
      <alignment vertical="top" wrapText="1"/>
    </xf>
    <xf numFmtId="49" fontId="5" fillId="7" borderId="53" xfId="0" applyNumberFormat="1" applyFont="1" applyFill="1" applyBorder="1" applyAlignment="1">
      <alignment vertical="top" wrapText="1"/>
    </xf>
    <xf numFmtId="0" fontId="0" fillId="4" borderId="62" xfId="0" applyFont="1" applyFill="1" applyBorder="1" applyAlignment="1">
      <alignment vertical="top" wrapText="1"/>
    </xf>
    <xf numFmtId="49" fontId="4" fillId="5" borderId="55" xfId="0" applyNumberFormat="1" applyFont="1" applyFill="1" applyBorder="1" applyAlignment="1">
      <alignment horizontal="center" vertical="top" wrapText="1"/>
    </xf>
    <xf numFmtId="0" fontId="0" fillId="4" borderId="56" xfId="0" applyFont="1" applyFill="1" applyBorder="1" applyAlignment="1">
      <alignment vertical="top" wrapText="1"/>
    </xf>
    <xf numFmtId="0" fontId="0" fillId="4" borderId="57" xfId="0" applyFont="1" applyFill="1" applyBorder="1" applyAlignment="1">
      <alignment vertical="top" wrapText="1"/>
    </xf>
    <xf numFmtId="49" fontId="4" fillId="12" borderId="58" xfId="0" applyNumberFormat="1" applyFont="1" applyFill="1" applyBorder="1" applyAlignment="1">
      <alignment horizontal="center" vertical="top" wrapText="1"/>
    </xf>
    <xf numFmtId="0" fontId="5" fillId="11" borderId="53" xfId="0" applyFont="1" applyFill="1" applyBorder="1" applyAlignment="1">
      <alignment vertical="top" wrapText="1"/>
    </xf>
    <xf numFmtId="0" fontId="0" fillId="4" borderId="75" xfId="0" applyFont="1" applyFill="1" applyBorder="1" applyAlignment="1">
      <alignment vertical="top" wrapText="1"/>
    </xf>
    <xf numFmtId="49" fontId="2" fillId="4" borderId="49" xfId="0" applyNumberFormat="1" applyFont="1" applyFill="1" applyBorder="1" applyAlignment="1">
      <alignment horizontal="center" vertical="center"/>
    </xf>
    <xf numFmtId="0" fontId="2" fillId="4" borderId="50"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91" xfId="0" applyFont="1" applyFill="1" applyBorder="1" applyAlignment="1">
      <alignment horizontal="center" vertical="center"/>
    </xf>
    <xf numFmtId="49" fontId="5" fillId="11" borderId="62" xfId="0" applyNumberFormat="1" applyFont="1" applyFill="1" applyBorder="1" applyAlignment="1">
      <alignment vertical="center" wrapText="1"/>
    </xf>
    <xf numFmtId="0" fontId="0" fillId="4" borderId="65" xfId="0" applyFont="1" applyFill="1" applyBorder="1" applyAlignment="1">
      <alignment vertical="top" wrapText="1"/>
    </xf>
    <xf numFmtId="49" fontId="4" fillId="5" borderId="95" xfId="0" applyNumberFormat="1" applyFont="1" applyFill="1" applyBorder="1" applyAlignment="1">
      <alignment horizontal="center" vertical="top" wrapText="1"/>
    </xf>
    <xf numFmtId="0" fontId="0" fillId="4" borderId="96" xfId="0" applyFont="1" applyFill="1" applyBorder="1" applyAlignment="1">
      <alignment vertical="top" wrapText="1"/>
    </xf>
    <xf numFmtId="0" fontId="0" fillId="4" borderId="97" xfId="0" applyFont="1" applyFill="1" applyBorder="1" applyAlignment="1">
      <alignment vertical="top" wrapText="1"/>
    </xf>
    <xf numFmtId="49" fontId="4" fillId="3" borderId="98" xfId="0" applyNumberFormat="1" applyFont="1" applyFill="1" applyBorder="1" applyAlignment="1">
      <alignment horizontal="center" vertical="top" wrapText="1"/>
    </xf>
    <xf numFmtId="0" fontId="0" fillId="4" borderId="93" xfId="0" applyFont="1" applyFill="1" applyBorder="1" applyAlignment="1">
      <alignment vertical="top" wrapText="1"/>
    </xf>
    <xf numFmtId="0" fontId="0" fillId="4" borderId="94" xfId="0" applyFont="1" applyFill="1" applyBorder="1" applyAlignment="1">
      <alignment vertical="top" wrapText="1"/>
    </xf>
    <xf numFmtId="49" fontId="4" fillId="3" borderId="92" xfId="0" applyNumberFormat="1" applyFont="1" applyFill="1" applyBorder="1" applyAlignment="1">
      <alignment horizontal="center" vertical="top" wrapText="1"/>
    </xf>
    <xf numFmtId="49" fontId="5" fillId="6" borderId="100" xfId="0" applyNumberFormat="1" applyFont="1" applyFill="1" applyBorder="1" applyAlignment="1">
      <alignment horizontal="center" vertical="top" wrapText="1"/>
    </xf>
    <xf numFmtId="49" fontId="15" fillId="3" borderId="100" xfId="0" applyNumberFormat="1" applyFont="1" applyFill="1" applyBorder="1" applyAlignment="1">
      <alignment horizontal="center" vertical="top" wrapText="1"/>
    </xf>
    <xf numFmtId="49" fontId="5" fillId="8" borderId="99" xfId="0" applyNumberFormat="1" applyFont="1" applyFill="1" applyBorder="1" applyAlignment="1">
      <alignment horizontal="center" vertical="top" wrapText="1"/>
    </xf>
    <xf numFmtId="0" fontId="0" fillId="4" borderId="101" xfId="0" applyFont="1" applyFill="1" applyBorder="1" applyAlignment="1">
      <alignment vertical="top" wrapText="1"/>
    </xf>
    <xf numFmtId="0" fontId="2" fillId="4" borderId="52" xfId="0" applyFont="1" applyFill="1" applyBorder="1" applyAlignment="1">
      <alignment horizontal="center" vertical="center"/>
    </xf>
    <xf numFmtId="49" fontId="5" fillId="7" borderId="99" xfId="0" applyNumberFormat="1" applyFont="1" applyFill="1" applyBorder="1" applyAlignment="1">
      <alignment horizontal="center" vertical="top" wrapText="1"/>
    </xf>
    <xf numFmtId="49" fontId="5" fillId="11" borderId="100" xfId="0" applyNumberFormat="1" applyFont="1" applyFill="1" applyBorder="1" applyAlignment="1">
      <alignment horizontal="center" vertical="top" wrapText="1"/>
    </xf>
    <xf numFmtId="0" fontId="2" fillId="4" borderId="102" xfId="0" applyFont="1" applyFill="1" applyBorder="1" applyAlignment="1">
      <alignment horizontal="center" vertical="center"/>
    </xf>
    <xf numFmtId="0" fontId="2" fillId="4" borderId="103" xfId="0" applyFont="1" applyFill="1" applyBorder="1" applyAlignment="1">
      <alignment horizontal="center" vertical="center"/>
    </xf>
    <xf numFmtId="0" fontId="2" fillId="4" borderId="104" xfId="0" applyFont="1" applyFill="1" applyBorder="1" applyAlignment="1">
      <alignment horizontal="center" vertical="center"/>
    </xf>
    <xf numFmtId="0" fontId="2" fillId="4" borderId="105" xfId="0" applyFont="1" applyFill="1" applyBorder="1" applyAlignment="1">
      <alignment horizontal="center" vertical="center"/>
    </xf>
    <xf numFmtId="0" fontId="2" fillId="4" borderId="106" xfId="0" applyFont="1" applyFill="1" applyBorder="1" applyAlignment="1">
      <alignment horizontal="center" vertical="center"/>
    </xf>
    <xf numFmtId="3" fontId="1" fillId="6" borderId="99" xfId="0" applyNumberFormat="1" applyFont="1" applyFill="1" applyBorder="1" applyAlignment="1">
      <alignment vertical="top" wrapText="1"/>
    </xf>
    <xf numFmtId="0" fontId="0" fillId="4" borderId="119" xfId="0" applyFont="1" applyFill="1" applyBorder="1" applyAlignment="1">
      <alignment vertical="top" wrapText="1"/>
    </xf>
    <xf numFmtId="0" fontId="0" fillId="4" borderId="122" xfId="0" applyFont="1" applyFill="1" applyBorder="1" applyAlignment="1">
      <alignment vertical="top" wrapText="1"/>
    </xf>
    <xf numFmtId="3" fontId="1" fillId="7" borderId="99" xfId="0" applyNumberFormat="1" applyFont="1" applyFill="1" applyBorder="1" applyAlignment="1">
      <alignment vertical="top" wrapText="1"/>
    </xf>
    <xf numFmtId="3" fontId="1" fillId="7" borderId="117" xfId="0" applyNumberFormat="1" applyFont="1" applyFill="1" applyBorder="1" applyAlignment="1">
      <alignment vertical="top" wrapText="1"/>
    </xf>
    <xf numFmtId="0" fontId="0" fillId="4" borderId="120" xfId="0" applyFont="1" applyFill="1" applyBorder="1" applyAlignment="1">
      <alignment vertical="top" wrapText="1"/>
    </xf>
    <xf numFmtId="0" fontId="0" fillId="4" borderId="123" xfId="0" applyFont="1" applyFill="1" applyBorder="1" applyAlignment="1">
      <alignment vertical="top" wrapText="1"/>
    </xf>
    <xf numFmtId="3" fontId="1" fillId="6" borderId="118" xfId="0" applyNumberFormat="1" applyFont="1" applyFill="1" applyBorder="1" applyAlignment="1">
      <alignment vertical="top" wrapText="1"/>
    </xf>
    <xf numFmtId="0" fontId="0" fillId="4" borderId="121" xfId="0" applyFont="1" applyFill="1" applyBorder="1" applyAlignment="1">
      <alignment vertical="top" wrapText="1"/>
    </xf>
    <xf numFmtId="0" fontId="0" fillId="4" borderId="124" xfId="0" applyFont="1" applyFill="1" applyBorder="1" applyAlignment="1">
      <alignment vertical="top" wrapText="1"/>
    </xf>
    <xf numFmtId="3" fontId="1" fillId="7" borderId="118" xfId="0" applyNumberFormat="1" applyFont="1" applyFill="1" applyBorder="1" applyAlignment="1">
      <alignment vertical="top" wrapText="1"/>
    </xf>
    <xf numFmtId="49" fontId="8" fillId="2" borderId="108" xfId="0" applyNumberFormat="1" applyFont="1" applyFill="1" applyBorder="1" applyAlignment="1">
      <alignment horizontal="center" vertical="top" wrapText="1"/>
    </xf>
    <xf numFmtId="49" fontId="8" fillId="3" borderId="108" xfId="0" applyNumberFormat="1" applyFont="1" applyFill="1" applyBorder="1" applyAlignment="1">
      <alignment horizontal="center" vertical="top" wrapText="1"/>
    </xf>
    <xf numFmtId="0" fontId="0" fillId="4" borderId="109" xfId="0" applyFont="1" applyFill="1" applyBorder="1" applyAlignment="1">
      <alignment vertical="top" wrapText="1"/>
    </xf>
    <xf numFmtId="49" fontId="17" fillId="13" borderId="73" xfId="0" applyNumberFormat="1" applyFont="1" applyFill="1" applyBorder="1" applyAlignment="1">
      <alignment horizontal="right" vertical="top" wrapText="1"/>
    </xf>
    <xf numFmtId="49" fontId="17" fillId="15" borderId="76" xfId="0" applyNumberFormat="1" applyFont="1" applyFill="1" applyBorder="1" applyAlignment="1">
      <alignment vertical="top" wrapText="1"/>
    </xf>
    <xf numFmtId="3" fontId="1" fillId="6" borderId="117" xfId="0" applyNumberFormat="1" applyFont="1" applyFill="1" applyBorder="1" applyAlignment="1">
      <alignment vertical="top" wrapText="1"/>
    </xf>
    <xf numFmtId="49" fontId="1" fillId="9" borderId="99" xfId="0" applyNumberFormat="1" applyFont="1" applyFill="1" applyBorder="1" applyAlignment="1">
      <alignment vertical="top" wrapText="1"/>
    </xf>
    <xf numFmtId="0" fontId="17" fillId="8" borderId="107" xfId="0" applyFont="1" applyFill="1" applyBorder="1" applyAlignment="1">
      <alignment horizontal="center" vertical="top" wrapText="1"/>
    </xf>
    <xf numFmtId="0" fontId="0" fillId="4" borderId="110" xfId="0" applyFont="1" applyFill="1" applyBorder="1" applyAlignment="1">
      <alignment vertical="top" wrapText="1"/>
    </xf>
    <xf numFmtId="0" fontId="17" fillId="11" borderId="99" xfId="0" applyFont="1" applyFill="1" applyBorder="1" applyAlignment="1">
      <alignment vertical="top" wrapText="1"/>
    </xf>
    <xf numFmtId="0" fontId="1" fillId="8" borderId="117" xfId="0" applyNumberFormat="1" applyFont="1" applyFill="1" applyBorder="1" applyAlignment="1">
      <alignment vertical="top" wrapText="1"/>
    </xf>
    <xf numFmtId="0" fontId="17" fillId="8" borderId="99" xfId="0" applyFont="1" applyFill="1" applyBorder="1" applyAlignment="1">
      <alignment horizontal="center" vertical="top" wrapText="1"/>
    </xf>
    <xf numFmtId="49" fontId="1" fillId="8" borderId="115" xfId="0" applyNumberFormat="1" applyFont="1" applyFill="1" applyBorder="1" applyAlignment="1">
      <alignment vertical="top" wrapText="1"/>
    </xf>
    <xf numFmtId="0" fontId="0" fillId="4" borderId="116" xfId="0" applyFont="1" applyFill="1" applyBorder="1" applyAlignment="1">
      <alignment vertical="top" wrapText="1"/>
    </xf>
    <xf numFmtId="0" fontId="17" fillId="9" borderId="53" xfId="0" applyFont="1" applyFill="1" applyBorder="1" applyAlignment="1">
      <alignment horizontal="center" vertical="top" wrapText="1"/>
    </xf>
    <xf numFmtId="49" fontId="4" fillId="12" borderId="92" xfId="0" applyNumberFormat="1" applyFont="1" applyFill="1" applyBorder="1" applyAlignment="1">
      <alignment horizontal="center" vertical="top" wrapText="1"/>
    </xf>
    <xf numFmtId="0" fontId="0" fillId="4" borderId="128" xfId="0" applyFont="1" applyFill="1" applyBorder="1" applyAlignment="1">
      <alignment vertical="top" wrapText="1"/>
    </xf>
    <xf numFmtId="49" fontId="5" fillId="15" borderId="76" xfId="0" applyNumberFormat="1" applyFont="1" applyFill="1" applyBorder="1" applyAlignment="1">
      <alignment horizontal="right" vertical="top" wrapText="1"/>
    </xf>
    <xf numFmtId="0" fontId="5" fillId="9" borderId="53" xfId="0" applyFont="1" applyFill="1" applyBorder="1" applyAlignment="1">
      <alignment horizontal="center" vertical="top" wrapText="1"/>
    </xf>
    <xf numFmtId="0" fontId="5" fillId="8" borderId="53" xfId="0" applyFont="1" applyFill="1" applyBorder="1" applyAlignment="1">
      <alignment vertical="top" wrapText="1"/>
    </xf>
    <xf numFmtId="49" fontId="3" fillId="3" borderId="100" xfId="0" applyNumberFormat="1" applyFont="1" applyFill="1" applyBorder="1" applyAlignment="1">
      <alignment horizontal="center" vertical="top" wrapText="1"/>
    </xf>
    <xf numFmtId="49" fontId="3" fillId="2" borderId="100" xfId="0" applyNumberFormat="1" applyFont="1" applyFill="1" applyBorder="1" applyAlignment="1">
      <alignment horizontal="center" vertical="top" wrapText="1"/>
    </xf>
    <xf numFmtId="49" fontId="3" fillId="12" borderId="108" xfId="0" applyNumberFormat="1" applyFont="1" applyFill="1" applyBorder="1" applyAlignment="1">
      <alignment horizontal="center" vertical="top" wrapText="1"/>
    </xf>
    <xf numFmtId="49" fontId="15" fillId="19" borderId="76" xfId="0" applyNumberFormat="1" applyFont="1" applyFill="1" applyBorder="1" applyAlignment="1">
      <alignment vertical="top" wrapText="1"/>
    </xf>
    <xf numFmtId="0" fontId="5" fillId="13" borderId="70" xfId="0" applyFont="1" applyFill="1" applyBorder="1" applyAlignment="1">
      <alignment vertical="top" wrapText="1"/>
    </xf>
    <xf numFmtId="0" fontId="0" fillId="4" borderId="70" xfId="0" applyFont="1" applyFill="1" applyBorder="1" applyAlignment="1">
      <alignment vertical="top" wrapText="1"/>
    </xf>
    <xf numFmtId="0" fontId="0" fillId="4" borderId="104" xfId="0" applyFont="1" applyFill="1" applyBorder="1" applyAlignment="1">
      <alignment vertical="top" wrapText="1"/>
    </xf>
    <xf numFmtId="0" fontId="15" fillId="17" borderId="107" xfId="0" applyFont="1" applyFill="1" applyBorder="1" applyAlignment="1">
      <alignment horizontal="center" vertical="top" wrapText="1"/>
    </xf>
    <xf numFmtId="49" fontId="3" fillId="3" borderId="108" xfId="0" applyNumberFormat="1" applyFont="1" applyFill="1" applyBorder="1" applyAlignment="1">
      <alignment horizontal="center" vertical="top" wrapText="1"/>
    </xf>
    <xf numFmtId="0" fontId="5" fillId="2" borderId="53" xfId="0" applyFont="1" applyFill="1" applyBorder="1" applyAlignment="1">
      <alignment vertical="top" wrapText="1"/>
    </xf>
    <xf numFmtId="49" fontId="15" fillId="18" borderId="76" xfId="0" applyNumberFormat="1" applyFont="1" applyFill="1" applyBorder="1" applyAlignment="1">
      <alignment vertical="top" wrapText="1"/>
    </xf>
    <xf numFmtId="49" fontId="15" fillId="2" borderId="100" xfId="0" applyNumberFormat="1" applyFont="1" applyFill="1" applyBorder="1" applyAlignment="1">
      <alignment horizontal="center" vertical="top" wrapText="1"/>
    </xf>
    <xf numFmtId="0" fontId="5" fillId="5" borderId="53" xfId="0" applyFont="1" applyFill="1" applyBorder="1" applyAlignment="1">
      <alignment horizontal="center" vertical="top" wrapText="1"/>
    </xf>
    <xf numFmtId="0" fontId="5" fillId="12" borderId="53" xfId="0" applyFont="1" applyFill="1" applyBorder="1" applyAlignment="1">
      <alignment vertical="top" wrapText="1"/>
    </xf>
    <xf numFmtId="49" fontId="5" fillId="11" borderId="99" xfId="0" applyNumberFormat="1" applyFont="1" applyFill="1" applyBorder="1" applyAlignment="1">
      <alignment horizontal="center"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4DAC2B"/>
      <rgbColor rgb="FF0081CC"/>
      <rgbColor rgb="FF11B8A5"/>
      <rgbColor rgb="FFB0EB9A"/>
      <rgbColor rgb="FF7FD0FF"/>
      <rgbColor rgb="FFFCF098"/>
      <rgbColor rgb="FF8AF3E7"/>
      <rgbColor rgb="FFAAAAAA"/>
      <rgbColor rgb="FFFF0000"/>
      <rgbColor rgb="FF00A2FF"/>
      <rgbColor rgb="FFA5A5A5"/>
      <rgbColor rgb="FFBDC0BF"/>
      <rgbColor rgb="FFC8B428"/>
      <rgbColor rgb="FF3F3F3F"/>
      <rgbColor rgb="FFDBDBDB"/>
      <rgbColor rgb="FFD5D5D5"/>
      <rgbColor rgb="FFFFB1A6"/>
      <rgbColor rgb="FFDDDDDD"/>
      <rgbColor rgb="FF365CFF"/>
      <rgbColor rgb="FFCC503E"/>
      <rgbColor rgb="FFBF4C85"/>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A7A7A7"/>
      </a:dk2>
      <a:lt2>
        <a:srgbClr val="535353"/>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Sheet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0"/>
  <sheetViews>
    <sheetView showGridLines="0" tabSelected="1" workbookViewId="0">
      <selection sqref="A1:A2"/>
    </sheetView>
  </sheetViews>
  <sheetFormatPr defaultColWidth="8.77734375" defaultRowHeight="15" customHeight="1"/>
  <cols>
    <col min="1" max="1" width="30.33203125" style="1" customWidth="1"/>
    <col min="2" max="3" width="6.33203125" style="1" customWidth="1"/>
    <col min="4" max="4" width="7.21875" style="1" customWidth="1"/>
    <col min="5" max="5" width="12" style="1" customWidth="1"/>
    <col min="6" max="6" width="7.6640625" style="1" customWidth="1"/>
    <col min="7" max="7" width="6.33203125" style="1" customWidth="1"/>
    <col min="8" max="8" width="8.44140625" style="1" customWidth="1"/>
    <col min="9" max="9" width="7.88671875" style="1" customWidth="1"/>
    <col min="10" max="13" width="6.33203125" style="1" customWidth="1"/>
    <col min="14" max="14" width="7.21875" style="1" customWidth="1"/>
    <col min="15" max="21" width="6.33203125" style="1" customWidth="1"/>
    <col min="22" max="256" width="8.88671875" style="1" customWidth="1"/>
  </cols>
  <sheetData>
    <row r="1" spans="1:21" ht="17.25" customHeight="1">
      <c r="A1" s="379" t="s">
        <v>0</v>
      </c>
      <c r="B1" s="376" t="s">
        <v>1</v>
      </c>
      <c r="C1" s="359"/>
      <c r="D1" s="359"/>
      <c r="E1" s="359"/>
      <c r="F1" s="359"/>
      <c r="G1" s="358" t="s">
        <v>2</v>
      </c>
      <c r="H1" s="359"/>
      <c r="I1" s="359"/>
      <c r="J1" s="359"/>
      <c r="K1" s="359"/>
      <c r="L1" s="376" t="s">
        <v>3</v>
      </c>
      <c r="M1" s="359"/>
      <c r="N1" s="359"/>
      <c r="O1" s="359"/>
      <c r="P1" s="359"/>
      <c r="Q1" s="358" t="s">
        <v>4</v>
      </c>
      <c r="R1" s="359"/>
      <c r="S1" s="359"/>
      <c r="T1" s="359"/>
      <c r="U1" s="359"/>
    </row>
    <row r="2" spans="1:21" ht="17.25" customHeight="1">
      <c r="A2" s="359"/>
      <c r="B2" s="2" t="s">
        <v>5</v>
      </c>
      <c r="C2" s="2" t="s">
        <v>6</v>
      </c>
      <c r="D2" s="2" t="s">
        <v>7</v>
      </c>
      <c r="E2" s="2" t="s">
        <v>8</v>
      </c>
      <c r="F2" s="2" t="s">
        <v>9</v>
      </c>
      <c r="G2" s="3" t="s">
        <v>5</v>
      </c>
      <c r="H2" s="3" t="s">
        <v>6</v>
      </c>
      <c r="I2" s="3" t="s">
        <v>7</v>
      </c>
      <c r="J2" s="3" t="s">
        <v>8</v>
      </c>
      <c r="K2" s="3" t="s">
        <v>10</v>
      </c>
      <c r="L2" s="2" t="s">
        <v>5</v>
      </c>
      <c r="M2" s="2" t="s">
        <v>6</v>
      </c>
      <c r="N2" s="2" t="s">
        <v>7</v>
      </c>
      <c r="O2" s="2" t="s">
        <v>8</v>
      </c>
      <c r="P2" s="2" t="s">
        <v>11</v>
      </c>
      <c r="Q2" s="3" t="s">
        <v>5</v>
      </c>
      <c r="R2" s="3" t="s">
        <v>6</v>
      </c>
      <c r="S2" s="3" t="s">
        <v>7</v>
      </c>
      <c r="T2" s="3" t="s">
        <v>8</v>
      </c>
      <c r="U2" s="3" t="s">
        <v>12</v>
      </c>
    </row>
    <row r="3" spans="1:21" ht="17.25" customHeight="1">
      <c r="A3" s="4" t="str">
        <f>'Revenue Projection'!A65</f>
        <v>Total Revenue After Phase 3 (Cr)</v>
      </c>
      <c r="B3" s="5">
        <f>'Revenue Projection'!D66</f>
        <v>0</v>
      </c>
      <c r="C3" s="5">
        <f>'Revenue Projection'!E66</f>
        <v>2.6865E-2</v>
      </c>
      <c r="D3" s="5">
        <f>'Revenue Projection'!F66</f>
        <v>6.8714999999999998E-2</v>
      </c>
      <c r="E3" s="5">
        <f>'Revenue Projection'!G66</f>
        <v>0.34141500000000002</v>
      </c>
      <c r="F3" s="6">
        <f>SUM(B3:E3)</f>
        <v>0.43699500000000002</v>
      </c>
      <c r="G3" s="7">
        <f>'Revenue Projection'!H66</f>
        <v>1.199025</v>
      </c>
      <c r="H3" s="7">
        <f>'Revenue Projection'!I66</f>
        <v>3.7217250000000002</v>
      </c>
      <c r="I3" s="7">
        <f>'Revenue Projection'!J66</f>
        <v>9.0092250000000007</v>
      </c>
      <c r="J3" s="7">
        <f>'Revenue Projection'!K66</f>
        <v>18.666135000000001</v>
      </c>
      <c r="K3" s="6">
        <f>SUM(G3:J3)</f>
        <v>32.596110000000003</v>
      </c>
      <c r="L3" s="5">
        <f>'Revenue Projection'!L66</f>
        <v>33.341805000000001</v>
      </c>
      <c r="M3" s="5">
        <f>'Revenue Projection'!M66</f>
        <v>54.600524999999998</v>
      </c>
      <c r="N3" s="5">
        <f>'Revenue Projection'!N66</f>
        <v>78.733485000000002</v>
      </c>
      <c r="O3" s="5">
        <f>'Revenue Projection'!O66</f>
        <v>106.919685</v>
      </c>
      <c r="P3" s="6">
        <f>SUM(L3:O3)</f>
        <v>273.59550000000002</v>
      </c>
      <c r="Q3" s="7">
        <f>'Revenue Projection'!P66</f>
        <v>139.15912499999999</v>
      </c>
      <c r="R3" s="7">
        <f>'Revenue Projection'!Q66</f>
        <v>175.45180500000001</v>
      </c>
      <c r="S3" s="7">
        <f>'Revenue Projection'!R66</f>
        <v>215.79772500000001</v>
      </c>
      <c r="T3" s="7">
        <f>'Revenue Projection'!S66</f>
        <v>260.19688500000001</v>
      </c>
      <c r="U3" s="6">
        <f>SUM(Q3:T3)</f>
        <v>790.60554000000002</v>
      </c>
    </row>
    <row r="4" spans="1:21" ht="17.25" customHeight="1">
      <c r="A4" s="4" t="s">
        <v>13</v>
      </c>
      <c r="B4" s="5">
        <f>'Burn Rate - Burn Rate'!B8</f>
        <v>4.0431400000000002</v>
      </c>
      <c r="C4" s="5">
        <f>'Burn Rate - Burn Rate'!C8</f>
        <v>4.1416709999999997</v>
      </c>
      <c r="D4" s="5">
        <f>'Burn Rate - Burn Rate'!D8</f>
        <v>7.5530129999999991</v>
      </c>
      <c r="E4" s="5">
        <f>'Burn Rate - Burn Rate'!E8</f>
        <v>11.901836999999999</v>
      </c>
      <c r="F4" s="6">
        <f>SUM(B4:E4)</f>
        <v>27.639660999999997</v>
      </c>
      <c r="G4" s="7">
        <f>'Burn Rate - Burn Rate'!F8</f>
        <v>11.686245999999999</v>
      </c>
      <c r="H4" s="7">
        <f>'Burn Rate - Burn Rate'!G8</f>
        <v>13.444470000000001</v>
      </c>
      <c r="I4" s="7">
        <f>'Burn Rate - Burn Rate'!H8</f>
        <v>16.305910000000001</v>
      </c>
      <c r="J4" s="7">
        <f>'Burn Rate - Burn Rate'!I8</f>
        <v>20.504173999999999</v>
      </c>
      <c r="K4" s="6">
        <f>SUM(G4:J4)</f>
        <v>61.940800000000003</v>
      </c>
      <c r="L4" s="5">
        <f>'Burn Rate - Burn Rate'!J8</f>
        <v>26.378341999999996</v>
      </c>
      <c r="M4" s="5">
        <f>'Burn Rate - Burn Rate'!K8</f>
        <v>33.933309999999999</v>
      </c>
      <c r="N4" s="5">
        <f>'Burn Rate - Burn Rate'!L8</f>
        <v>40.401533999999998</v>
      </c>
      <c r="O4" s="5">
        <f>'Burn Rate - Burn Rate'!M8</f>
        <v>47.343174000000005</v>
      </c>
      <c r="P4" s="6">
        <f>SUM(L4:O4)</f>
        <v>148.05635999999998</v>
      </c>
      <c r="Q4" s="7">
        <f>'Burn Rate - Burn Rate'!N8</f>
        <v>54.392090000000003</v>
      </c>
      <c r="R4" s="7">
        <f>'Burn Rate - Burn Rate'!O8</f>
        <v>62.336942000000008</v>
      </c>
      <c r="S4" s="7">
        <f>'Burn Rate - Burn Rate'!P8</f>
        <v>70.749050000000011</v>
      </c>
      <c r="T4" s="7">
        <f>'Burn Rate - Burn Rate'!Q8</f>
        <v>79.664593999999994</v>
      </c>
      <c r="U4" s="6">
        <f>SUM(Q4:T4)</f>
        <v>267.14267600000005</v>
      </c>
    </row>
    <row r="5" spans="1:21" ht="17.25" customHeight="1">
      <c r="A5" s="4" t="s">
        <v>14</v>
      </c>
      <c r="B5" s="5">
        <f>B3-B4</f>
        <v>-4.0431400000000002</v>
      </c>
      <c r="C5" s="5">
        <f>C3-C4</f>
        <v>-4.1148059999999997</v>
      </c>
      <c r="D5" s="5">
        <f>D3-D4</f>
        <v>-7.484297999999999</v>
      </c>
      <c r="E5" s="5">
        <f>E3-E4</f>
        <v>-11.560421999999999</v>
      </c>
      <c r="F5" s="6">
        <f>SUM(B5:E5)</f>
        <v>-27.202665999999997</v>
      </c>
      <c r="G5" s="7">
        <f>G3-G4</f>
        <v>-10.487220999999998</v>
      </c>
      <c r="H5" s="7">
        <f>H3-H4</f>
        <v>-9.7227449999999997</v>
      </c>
      <c r="I5" s="7">
        <f>I3-I4</f>
        <v>-7.2966850000000001</v>
      </c>
      <c r="J5" s="7">
        <f>J3-J4</f>
        <v>-1.8380389999999984</v>
      </c>
      <c r="K5" s="6">
        <f>SUM(G5:J5)</f>
        <v>-29.344689999999996</v>
      </c>
      <c r="L5" s="5">
        <f>L3-L4</f>
        <v>6.9634630000000044</v>
      </c>
      <c r="M5" s="5">
        <f>M3-M4</f>
        <v>20.667214999999999</v>
      </c>
      <c r="N5" s="5">
        <f>N3-N4</f>
        <v>38.331951000000004</v>
      </c>
      <c r="O5" s="5">
        <f>O3-O4</f>
        <v>59.576510999999996</v>
      </c>
      <c r="P5" s="6">
        <f>SUM(L5:O5)</f>
        <v>125.53914</v>
      </c>
      <c r="Q5" s="7">
        <f>Q3-Q4</f>
        <v>84.767034999999993</v>
      </c>
      <c r="R5" s="7">
        <f>R3-R4</f>
        <v>113.114863</v>
      </c>
      <c r="S5" s="7">
        <f>S3-S4</f>
        <v>145.048675</v>
      </c>
      <c r="T5" s="7">
        <f>T3-T4</f>
        <v>180.53229100000001</v>
      </c>
      <c r="U5" s="6">
        <f>SUM(Q5:T5)</f>
        <v>523.46286399999997</v>
      </c>
    </row>
    <row r="6" spans="1:21" ht="17.25" customHeight="1">
      <c r="A6" s="4" t="s">
        <v>15</v>
      </c>
      <c r="B6" s="8"/>
      <c r="C6" s="8"/>
      <c r="D6" s="8"/>
      <c r="E6" s="8"/>
      <c r="F6" s="6">
        <f>F5</f>
        <v>-27.202665999999997</v>
      </c>
      <c r="G6" s="9"/>
      <c r="H6" s="9"/>
      <c r="I6" s="9"/>
      <c r="J6" s="9"/>
      <c r="K6" s="6">
        <f>K5+F6</f>
        <v>-56.547355999999994</v>
      </c>
      <c r="L6" s="8"/>
      <c r="M6" s="8"/>
      <c r="N6" s="8"/>
      <c r="O6" s="8"/>
      <c r="P6" s="6">
        <f>P5+K6</f>
        <v>68.99178400000001</v>
      </c>
      <c r="Q6" s="9"/>
      <c r="R6" s="9"/>
      <c r="S6" s="9"/>
      <c r="T6" s="9"/>
      <c r="U6" s="6">
        <f>U5</f>
        <v>523.46286399999997</v>
      </c>
    </row>
    <row r="7" spans="1:21" ht="17.25" customHeight="1">
      <c r="A7" s="4" t="s">
        <v>16</v>
      </c>
      <c r="B7" s="8"/>
      <c r="C7" s="8"/>
      <c r="D7" s="8"/>
      <c r="E7" s="8"/>
      <c r="F7" s="10">
        <v>0</v>
      </c>
      <c r="G7" s="9"/>
      <c r="H7" s="9"/>
      <c r="I7" s="9"/>
      <c r="J7" s="9"/>
      <c r="K7" s="10">
        <v>0</v>
      </c>
      <c r="L7" s="8"/>
      <c r="M7" s="8"/>
      <c r="N7" s="8"/>
      <c r="O7" s="8"/>
      <c r="P7" s="10">
        <f>P6*25%</f>
        <v>17.247946000000002</v>
      </c>
      <c r="Q7" s="9"/>
      <c r="R7" s="9"/>
      <c r="S7" s="9"/>
      <c r="T7" s="9"/>
      <c r="U7" s="6">
        <f>U5*30%</f>
        <v>157.03885919999999</v>
      </c>
    </row>
    <row r="8" spans="1:21" ht="17.25" customHeight="1">
      <c r="A8" s="4" t="s">
        <v>17</v>
      </c>
      <c r="B8" s="8"/>
      <c r="C8" s="8"/>
      <c r="D8" s="8"/>
      <c r="E8" s="8"/>
      <c r="F8" s="6">
        <f>F6-F7</f>
        <v>-27.202665999999997</v>
      </c>
      <c r="G8" s="9"/>
      <c r="H8" s="9"/>
      <c r="I8" s="9"/>
      <c r="J8" s="9"/>
      <c r="K8" s="6">
        <f>K6-K7</f>
        <v>-56.547355999999994</v>
      </c>
      <c r="L8" s="8"/>
      <c r="M8" s="8"/>
      <c r="N8" s="8"/>
      <c r="O8" s="8"/>
      <c r="P8" s="6">
        <f>P6-P7</f>
        <v>51.743838000000011</v>
      </c>
      <c r="Q8" s="9"/>
      <c r="R8" s="9"/>
      <c r="S8" s="9"/>
      <c r="T8" s="9"/>
      <c r="U8" s="6">
        <f>U5-U7</f>
        <v>366.42400479999998</v>
      </c>
    </row>
    <row r="9" spans="1:21" ht="17.25" customHeight="1">
      <c r="A9" s="4" t="s">
        <v>18</v>
      </c>
      <c r="B9" s="8"/>
      <c r="C9" s="8"/>
      <c r="D9" s="8"/>
      <c r="E9" s="8"/>
      <c r="F9" s="11"/>
      <c r="G9" s="9"/>
      <c r="H9" s="9"/>
      <c r="I9" s="9"/>
      <c r="J9" s="9"/>
      <c r="K9" s="11"/>
      <c r="L9" s="8"/>
      <c r="M9" s="8"/>
      <c r="N9" s="8"/>
      <c r="O9" s="8"/>
      <c r="P9" s="10">
        <f>P8*25%</f>
        <v>12.935959500000003</v>
      </c>
      <c r="Q9" s="9"/>
      <c r="R9" s="9"/>
      <c r="S9" s="9"/>
      <c r="T9" s="9"/>
      <c r="U9" s="6">
        <f>U8*25%</f>
        <v>91.606001199999994</v>
      </c>
    </row>
    <row r="10" spans="1:21" ht="17.25" customHeight="1">
      <c r="A10" s="12"/>
      <c r="B10" s="13"/>
      <c r="C10" s="13"/>
      <c r="D10" s="13"/>
      <c r="E10" s="13"/>
      <c r="F10" s="13"/>
      <c r="G10" s="13"/>
      <c r="H10" s="13"/>
      <c r="I10" s="13"/>
      <c r="J10" s="13"/>
      <c r="K10" s="13"/>
      <c r="L10" s="13"/>
      <c r="M10" s="13"/>
      <c r="N10" s="13"/>
      <c r="O10" s="13"/>
      <c r="P10" s="13"/>
      <c r="Q10" s="13"/>
      <c r="R10" s="13"/>
      <c r="S10" s="13"/>
      <c r="T10" s="13"/>
      <c r="U10" s="14"/>
    </row>
    <row r="11" spans="1:21" ht="10.050000000000001" customHeight="1">
      <c r="A11" s="15"/>
      <c r="B11" s="16"/>
      <c r="C11" s="16"/>
      <c r="D11" s="16"/>
      <c r="E11" s="16"/>
      <c r="F11" s="16"/>
      <c r="G11" s="16"/>
      <c r="H11" s="16"/>
      <c r="I11" s="17"/>
      <c r="J11" s="17"/>
      <c r="K11" s="17"/>
      <c r="L11" s="17"/>
      <c r="M11" s="17"/>
      <c r="N11" s="18"/>
      <c r="O11" s="18"/>
      <c r="P11" s="18"/>
      <c r="Q11" s="18"/>
      <c r="R11" s="17"/>
      <c r="S11" s="17"/>
      <c r="T11" s="17"/>
      <c r="U11" s="19"/>
    </row>
    <row r="12" spans="1:21" ht="33" customHeight="1">
      <c r="A12" s="373" t="s">
        <v>19</v>
      </c>
      <c r="B12" s="374"/>
      <c r="C12" s="374"/>
      <c r="D12" s="374"/>
      <c r="E12" s="374"/>
      <c r="F12" s="374"/>
      <c r="G12" s="374"/>
      <c r="H12" s="375"/>
      <c r="I12" s="20"/>
      <c r="J12" s="17"/>
      <c r="K12" s="17"/>
      <c r="L12" s="18"/>
      <c r="M12" s="17"/>
      <c r="N12" s="17"/>
      <c r="O12" s="17"/>
      <c r="P12" s="17"/>
      <c r="Q12" s="21"/>
      <c r="R12" s="17"/>
      <c r="S12" s="17"/>
      <c r="T12" s="17"/>
      <c r="U12" s="19"/>
    </row>
    <row r="13" spans="1:21" ht="30.75" customHeight="1">
      <c r="A13" s="22" t="s">
        <v>20</v>
      </c>
      <c r="B13" s="372" t="s">
        <v>21</v>
      </c>
      <c r="C13" s="363"/>
      <c r="D13" s="23" t="s">
        <v>22</v>
      </c>
      <c r="E13" s="23" t="s">
        <v>20</v>
      </c>
      <c r="F13" s="23" t="s">
        <v>23</v>
      </c>
      <c r="G13" s="372" t="s">
        <v>24</v>
      </c>
      <c r="H13" s="368"/>
      <c r="I13" s="20"/>
      <c r="J13" s="17"/>
      <c r="K13" s="17"/>
      <c r="L13" s="17"/>
      <c r="M13" s="17"/>
      <c r="N13" s="24"/>
      <c r="O13" s="17"/>
      <c r="P13" s="17"/>
      <c r="Q13" s="17"/>
      <c r="R13" s="17"/>
      <c r="S13" s="17"/>
      <c r="T13" s="17"/>
      <c r="U13" s="19"/>
    </row>
    <row r="14" spans="1:21" ht="17.25" customHeight="1">
      <c r="A14" s="25" t="s">
        <v>25</v>
      </c>
      <c r="B14" s="362">
        <v>30</v>
      </c>
      <c r="C14" s="363"/>
      <c r="D14" s="26">
        <v>0.34799999999999998</v>
      </c>
      <c r="E14" s="27">
        <v>4</v>
      </c>
      <c r="F14" s="28">
        <f>(B14*D14)*E14</f>
        <v>41.76</v>
      </c>
      <c r="G14" s="380">
        <v>0</v>
      </c>
      <c r="H14" s="368"/>
      <c r="I14" s="20"/>
      <c r="J14" s="17"/>
      <c r="K14" s="17"/>
      <c r="L14" s="17"/>
      <c r="M14" s="17"/>
      <c r="N14" s="17"/>
      <c r="O14" s="17"/>
      <c r="P14" s="17"/>
      <c r="Q14" s="17"/>
      <c r="R14" s="17"/>
      <c r="S14" s="17"/>
      <c r="T14" s="17"/>
      <c r="U14" s="19"/>
    </row>
    <row r="15" spans="1:21" ht="17.25" customHeight="1">
      <c r="A15" s="25" t="s">
        <v>26</v>
      </c>
      <c r="B15" s="362">
        <v>60</v>
      </c>
      <c r="C15" s="363"/>
      <c r="D15" s="26">
        <f>D14</f>
        <v>0.34799999999999998</v>
      </c>
      <c r="E15" s="27">
        <v>3</v>
      </c>
      <c r="F15" s="28">
        <f>(B15*D15)*E15</f>
        <v>62.64</v>
      </c>
      <c r="G15" s="380">
        <v>0</v>
      </c>
      <c r="H15" s="368"/>
      <c r="I15" s="20"/>
      <c r="J15" s="17"/>
      <c r="K15" s="17"/>
      <c r="L15" s="17"/>
      <c r="M15" s="17"/>
      <c r="N15" s="17"/>
      <c r="O15" s="17"/>
      <c r="P15" s="17"/>
      <c r="Q15" s="17"/>
      <c r="R15" s="17"/>
      <c r="S15" s="17"/>
      <c r="T15" s="17"/>
      <c r="U15" s="19"/>
    </row>
    <row r="16" spans="1:21" ht="17.25" customHeight="1">
      <c r="A16" s="25" t="s">
        <v>27</v>
      </c>
      <c r="B16" s="362">
        <v>0</v>
      </c>
      <c r="C16" s="363"/>
      <c r="D16" s="26"/>
      <c r="E16" s="29"/>
      <c r="F16" s="28"/>
      <c r="G16" s="367">
        <f>P9</f>
        <v>12.935959500000003</v>
      </c>
      <c r="H16" s="368"/>
      <c r="I16" s="20"/>
      <c r="J16" s="17"/>
      <c r="K16" s="17"/>
      <c r="L16" s="17"/>
      <c r="M16" s="17"/>
      <c r="N16" s="17"/>
      <c r="O16" s="17"/>
      <c r="P16" s="17"/>
      <c r="Q16" s="17"/>
      <c r="R16" s="17"/>
      <c r="S16" s="17"/>
      <c r="T16" s="17"/>
      <c r="U16" s="19"/>
    </row>
    <row r="17" spans="1:21" ht="17.25" customHeight="1">
      <c r="A17" s="25" t="s">
        <v>28</v>
      </c>
      <c r="B17" s="362">
        <v>0</v>
      </c>
      <c r="C17" s="363"/>
      <c r="D17" s="26"/>
      <c r="E17" s="29"/>
      <c r="F17" s="28"/>
      <c r="G17" s="367">
        <f>U9</f>
        <v>91.606001199999994</v>
      </c>
      <c r="H17" s="368"/>
      <c r="I17" s="20"/>
      <c r="J17" s="17"/>
      <c r="K17" s="17"/>
      <c r="L17" s="17"/>
      <c r="M17" s="17"/>
      <c r="N17" s="17"/>
      <c r="O17" s="17"/>
      <c r="P17" s="17"/>
      <c r="Q17" s="17"/>
      <c r="R17" s="17"/>
      <c r="S17" s="17"/>
      <c r="T17" s="17"/>
      <c r="U17" s="19"/>
    </row>
    <row r="18" spans="1:21" ht="28.2" customHeight="1">
      <c r="A18" s="30" t="s">
        <v>29</v>
      </c>
      <c r="B18" s="377"/>
      <c r="C18" s="378"/>
      <c r="D18" s="31"/>
      <c r="E18" s="32"/>
      <c r="F18" s="33">
        <f>SUM(F14:F17)</f>
        <v>104.4</v>
      </c>
      <c r="G18" s="360">
        <f>SUM(G14:G17)</f>
        <v>104.5419607</v>
      </c>
      <c r="H18" s="361"/>
      <c r="I18" s="20"/>
      <c r="J18" s="17"/>
      <c r="K18" s="17"/>
      <c r="L18" s="17"/>
      <c r="M18" s="17"/>
      <c r="N18" s="17"/>
      <c r="O18" s="17"/>
      <c r="P18" s="17"/>
      <c r="Q18" s="17"/>
      <c r="R18" s="17"/>
      <c r="S18" s="17"/>
      <c r="T18" s="17"/>
      <c r="U18" s="19"/>
    </row>
    <row r="19" spans="1:21" ht="17.25" customHeight="1" thickTop="1">
      <c r="A19" s="34"/>
      <c r="B19" s="35"/>
      <c r="C19" s="35"/>
      <c r="D19" s="35"/>
      <c r="E19" s="35"/>
      <c r="F19" s="34"/>
      <c r="G19" s="34"/>
      <c r="H19" s="36"/>
      <c r="I19" s="37"/>
      <c r="J19" s="17"/>
      <c r="K19" s="17"/>
      <c r="L19" s="17"/>
      <c r="M19" s="17"/>
      <c r="N19" s="17"/>
      <c r="O19" s="17"/>
      <c r="P19" s="17"/>
      <c r="Q19" s="17"/>
      <c r="R19" s="17"/>
      <c r="S19" s="17"/>
      <c r="T19" s="17"/>
      <c r="U19" s="19"/>
    </row>
    <row r="20" spans="1:21" ht="17.25" customHeight="1" thickBot="1">
      <c r="A20" s="38"/>
      <c r="B20" s="16"/>
      <c r="C20" s="16"/>
      <c r="D20" s="16"/>
      <c r="E20" s="16"/>
      <c r="F20" s="16"/>
      <c r="G20" s="17"/>
      <c r="H20" s="17"/>
      <c r="I20" s="17"/>
      <c r="J20" s="38"/>
      <c r="K20" s="64"/>
      <c r="L20" s="64"/>
      <c r="M20" s="64"/>
      <c r="N20" s="64"/>
      <c r="O20" s="65"/>
      <c r="P20" s="17"/>
      <c r="Q20" s="17"/>
      <c r="R20" s="17"/>
      <c r="S20" s="17"/>
      <c r="T20" s="17"/>
      <c r="U20" s="19"/>
    </row>
    <row r="21" spans="1:21" ht="26.4" customHeight="1" thickTop="1" thickBot="1">
      <c r="A21" s="39"/>
      <c r="B21" s="369" t="s">
        <v>30</v>
      </c>
      <c r="C21" s="370"/>
      <c r="D21" s="370"/>
      <c r="E21" s="370"/>
      <c r="F21" s="371"/>
      <c r="G21" s="40"/>
      <c r="H21" s="41"/>
      <c r="I21" s="41"/>
      <c r="J21" s="39"/>
      <c r="K21" s="364" t="s">
        <v>37</v>
      </c>
      <c r="L21" s="365"/>
      <c r="M21" s="365"/>
      <c r="N21" s="366"/>
      <c r="O21" s="66"/>
      <c r="P21" s="17"/>
      <c r="Q21" s="17"/>
      <c r="R21" s="17"/>
      <c r="S21" s="17"/>
      <c r="T21" s="17"/>
      <c r="U21" s="19"/>
    </row>
    <row r="22" spans="1:21" ht="23.7" customHeight="1" thickTop="1">
      <c r="A22" s="39"/>
      <c r="B22" s="42" t="s">
        <v>20</v>
      </c>
      <c r="C22" s="43" t="s">
        <v>31</v>
      </c>
      <c r="D22" s="43" t="s">
        <v>32</v>
      </c>
      <c r="E22" s="43" t="s">
        <v>33</v>
      </c>
      <c r="F22" s="44" t="s">
        <v>34</v>
      </c>
      <c r="G22" s="45"/>
      <c r="H22" s="46" t="s">
        <v>35</v>
      </c>
      <c r="I22" s="47">
        <v>0.371</v>
      </c>
      <c r="J22" s="39"/>
      <c r="K22" s="68" t="s">
        <v>20</v>
      </c>
      <c r="L22" s="69" t="s">
        <v>31</v>
      </c>
      <c r="M22" s="69" t="s">
        <v>32</v>
      </c>
      <c r="N22" s="70" t="s">
        <v>33</v>
      </c>
      <c r="O22" s="71"/>
      <c r="P22" s="17"/>
      <c r="Q22" s="17"/>
      <c r="R22" s="17"/>
      <c r="S22" s="17"/>
      <c r="T22" s="17"/>
      <c r="U22" s="19"/>
    </row>
    <row r="23" spans="1:21" ht="17.25" customHeight="1">
      <c r="A23" s="39"/>
      <c r="B23" s="48">
        <v>0</v>
      </c>
      <c r="C23" s="49">
        <v>-30</v>
      </c>
      <c r="D23" s="50"/>
      <c r="E23" s="51">
        <f>SUM(C23:D23)</f>
        <v>-30</v>
      </c>
      <c r="F23" s="52">
        <f>E23/(1+$H$3)^B23</f>
        <v>-30</v>
      </c>
      <c r="G23" s="40"/>
      <c r="H23" s="41"/>
      <c r="I23" s="41"/>
      <c r="J23" s="39"/>
      <c r="K23" s="48">
        <v>0</v>
      </c>
      <c r="L23" s="72">
        <v>-30</v>
      </c>
      <c r="M23" s="50"/>
      <c r="N23" s="73">
        <f>SUM(L23:M23)</f>
        <v>-30</v>
      </c>
      <c r="O23" s="74"/>
      <c r="P23" s="17"/>
      <c r="Q23" s="17"/>
      <c r="R23" s="17"/>
      <c r="S23" s="17"/>
      <c r="T23" s="17"/>
      <c r="U23" s="19"/>
    </row>
    <row r="24" spans="1:21" ht="17.25" customHeight="1">
      <c r="A24" s="39"/>
      <c r="B24" s="48">
        <v>1</v>
      </c>
      <c r="C24" s="49">
        <v>-60</v>
      </c>
      <c r="D24" s="53">
        <f>F8</f>
        <v>-27.202665999999997</v>
      </c>
      <c r="E24" s="54">
        <f>SUM(C24:D24)</f>
        <v>-87.202665999999994</v>
      </c>
      <c r="F24" s="52">
        <f>E24/(1+$I$22)^B24</f>
        <v>-63.605153902261115</v>
      </c>
      <c r="G24" s="40"/>
      <c r="H24" s="41"/>
      <c r="I24" s="41"/>
      <c r="J24" s="39"/>
      <c r="K24" s="48">
        <v>1</v>
      </c>
      <c r="L24" s="72">
        <v>-60</v>
      </c>
      <c r="M24" s="53">
        <f>D24</f>
        <v>-27.202665999999997</v>
      </c>
      <c r="N24" s="73">
        <f>SUM(L24:M24)</f>
        <v>-87.202665999999994</v>
      </c>
      <c r="O24" s="74"/>
      <c r="P24" s="17"/>
      <c r="Q24" s="17"/>
      <c r="R24" s="17"/>
      <c r="S24" s="17"/>
      <c r="T24" s="17"/>
      <c r="U24" s="19"/>
    </row>
    <row r="25" spans="1:21" ht="17.25" customHeight="1">
      <c r="A25" s="39"/>
      <c r="B25" s="48">
        <v>2</v>
      </c>
      <c r="C25" s="55">
        <v>0</v>
      </c>
      <c r="D25" s="53">
        <f>K8</f>
        <v>-56.547355999999994</v>
      </c>
      <c r="E25" s="54">
        <f>SUM(C25:D25)</f>
        <v>-56.547355999999994</v>
      </c>
      <c r="F25" s="52">
        <f>E25/(1+$I$22)^B25</f>
        <v>-30.084125638885297</v>
      </c>
      <c r="G25" s="40"/>
      <c r="H25" s="41"/>
      <c r="I25" s="41"/>
      <c r="J25" s="39"/>
      <c r="K25" s="48">
        <v>2</v>
      </c>
      <c r="L25" s="75">
        <v>0</v>
      </c>
      <c r="M25" s="53">
        <f>D25</f>
        <v>-56.547355999999994</v>
      </c>
      <c r="N25" s="73">
        <f>SUM(L25:M25)</f>
        <v>-56.547355999999994</v>
      </c>
      <c r="O25" s="74"/>
      <c r="P25" s="17"/>
      <c r="Q25" s="17"/>
      <c r="R25" s="17"/>
      <c r="S25" s="17"/>
      <c r="T25" s="17"/>
      <c r="U25" s="19"/>
    </row>
    <row r="26" spans="1:21" ht="17.25" customHeight="1">
      <c r="A26" s="39"/>
      <c r="B26" s="48">
        <v>3</v>
      </c>
      <c r="C26" s="49">
        <v>0</v>
      </c>
      <c r="D26" s="53">
        <f>P8</f>
        <v>51.743838000000011</v>
      </c>
      <c r="E26" s="54">
        <f>SUM(C26:D26)</f>
        <v>51.743838000000011</v>
      </c>
      <c r="F26" s="52">
        <f>E26/(1+$I$22)^B26</f>
        <v>20.079193925221098</v>
      </c>
      <c r="G26" s="40"/>
      <c r="H26" s="41"/>
      <c r="I26" s="41"/>
      <c r="J26" s="39"/>
      <c r="K26" s="48">
        <v>3</v>
      </c>
      <c r="L26" s="72">
        <v>0</v>
      </c>
      <c r="M26" s="53">
        <f>D26</f>
        <v>51.743838000000011</v>
      </c>
      <c r="N26" s="73">
        <f>SUM(L26:M26)</f>
        <v>51.743838000000011</v>
      </c>
      <c r="O26" s="74"/>
      <c r="P26" s="17"/>
      <c r="Q26" s="17"/>
      <c r="R26" s="17"/>
      <c r="S26" s="17"/>
      <c r="T26" s="17"/>
      <c r="U26" s="19"/>
    </row>
    <row r="27" spans="1:21" ht="17.25" customHeight="1">
      <c r="A27" s="39"/>
      <c r="B27" s="48">
        <v>4</v>
      </c>
      <c r="C27" s="49">
        <v>0</v>
      </c>
      <c r="D27" s="53">
        <f>U8</f>
        <v>366.42400479999998</v>
      </c>
      <c r="E27" s="54">
        <f>SUM(C27:D27)</f>
        <v>366.42400479999998</v>
      </c>
      <c r="F27" s="52">
        <f>E27/(1+$I$22)^B27</f>
        <v>103.71321516514702</v>
      </c>
      <c r="G27" s="40"/>
      <c r="H27" s="41"/>
      <c r="I27" s="41"/>
      <c r="J27" s="39"/>
      <c r="K27" s="48">
        <v>4</v>
      </c>
      <c r="L27" s="72">
        <v>0</v>
      </c>
      <c r="M27" s="53">
        <f>D27</f>
        <v>366.42400479999998</v>
      </c>
      <c r="N27" s="73">
        <f>SUM(L27:M27)</f>
        <v>366.42400479999998</v>
      </c>
      <c r="O27" s="74"/>
      <c r="P27" s="17"/>
      <c r="Q27" s="17"/>
      <c r="R27" s="17"/>
      <c r="S27" s="17"/>
      <c r="T27" s="17"/>
      <c r="U27" s="19"/>
    </row>
    <row r="28" spans="1:21" ht="17.25" customHeight="1" thickBot="1">
      <c r="A28" s="39"/>
      <c r="B28" s="56"/>
      <c r="C28" s="57"/>
      <c r="D28" s="58"/>
      <c r="E28" s="59" t="s">
        <v>36</v>
      </c>
      <c r="F28" s="60">
        <f>SUM(F23:F27)</f>
        <v>0.10312954922169126</v>
      </c>
      <c r="G28" s="40"/>
      <c r="H28" s="41"/>
      <c r="I28" s="41"/>
      <c r="J28" s="39"/>
      <c r="K28" s="56"/>
      <c r="L28" s="76"/>
      <c r="M28" s="77" t="s">
        <v>38</v>
      </c>
      <c r="N28" s="78">
        <f>IRR(N23:N27)</f>
        <v>0.37140279664459497</v>
      </c>
      <c r="O28" s="74"/>
      <c r="P28" s="17"/>
      <c r="Q28" s="17"/>
      <c r="R28" s="17"/>
      <c r="S28" s="17"/>
      <c r="T28" s="17"/>
      <c r="U28" s="19"/>
    </row>
    <row r="29" spans="1:21" ht="17.25" customHeight="1" thickTop="1">
      <c r="A29" s="38"/>
      <c r="B29" s="61"/>
      <c r="C29" s="61"/>
      <c r="D29" s="62"/>
      <c r="E29" s="63"/>
      <c r="F29" s="61"/>
      <c r="G29" s="41"/>
      <c r="H29" s="41"/>
      <c r="I29" s="41"/>
      <c r="J29" s="38"/>
      <c r="K29" s="61"/>
      <c r="L29" s="61"/>
      <c r="M29" s="62"/>
      <c r="N29" s="79"/>
      <c r="O29" s="80"/>
      <c r="P29" s="17"/>
      <c r="Q29" s="17"/>
      <c r="R29" s="17"/>
      <c r="S29" s="17"/>
      <c r="T29" s="17"/>
      <c r="U29" s="19"/>
    </row>
    <row r="30" spans="1:21" ht="17.25" customHeight="1">
      <c r="G30" s="41"/>
      <c r="H30" s="41"/>
      <c r="I30" s="41"/>
      <c r="J30" s="17"/>
      <c r="K30" s="17"/>
      <c r="L30" s="17"/>
      <c r="M30" s="17"/>
      <c r="N30" s="17"/>
      <c r="O30" s="17"/>
      <c r="P30" s="17"/>
      <c r="Q30" s="17"/>
      <c r="R30" s="17"/>
      <c r="S30" s="17"/>
      <c r="T30" s="17"/>
      <c r="U30" s="19"/>
    </row>
    <row r="31" spans="1:21" ht="31.5" customHeight="1">
      <c r="G31" s="67"/>
      <c r="H31" s="41"/>
      <c r="I31" s="41"/>
      <c r="J31" s="17"/>
      <c r="K31" s="17"/>
      <c r="L31" s="17"/>
      <c r="M31" s="17"/>
      <c r="N31" s="17"/>
      <c r="O31" s="17"/>
      <c r="P31" s="17"/>
      <c r="Q31" s="17"/>
      <c r="R31" s="17"/>
      <c r="S31" s="17"/>
      <c r="T31" s="17"/>
      <c r="U31" s="19"/>
    </row>
    <row r="32" spans="1:21" ht="22.8" customHeight="1">
      <c r="G32" s="67"/>
      <c r="H32" s="41"/>
      <c r="I32" s="41"/>
      <c r="J32" s="17"/>
      <c r="K32" s="17"/>
      <c r="L32" s="17"/>
      <c r="M32" s="17"/>
      <c r="N32" s="17"/>
      <c r="O32" s="17"/>
      <c r="P32" s="17"/>
      <c r="Q32" s="17"/>
      <c r="R32" s="17"/>
      <c r="S32" s="17"/>
      <c r="T32" s="17"/>
      <c r="U32" s="19"/>
    </row>
    <row r="33" spans="1:21" ht="17.25" customHeight="1">
      <c r="G33" s="67"/>
      <c r="H33" s="41"/>
      <c r="I33" s="41"/>
      <c r="J33" s="17"/>
      <c r="K33" s="17"/>
      <c r="L33" s="17"/>
      <c r="M33" s="17"/>
      <c r="N33" s="17"/>
      <c r="O33" s="17"/>
      <c r="P33" s="17"/>
      <c r="Q33" s="17"/>
      <c r="R33" s="17"/>
      <c r="S33" s="17"/>
      <c r="T33" s="17"/>
      <c r="U33" s="19"/>
    </row>
    <row r="34" spans="1:21" ht="17.25" customHeight="1">
      <c r="G34" s="67"/>
      <c r="H34" s="41"/>
      <c r="I34" s="41"/>
      <c r="J34" s="17"/>
      <c r="K34" s="17"/>
      <c r="L34" s="17"/>
      <c r="M34" s="17"/>
      <c r="N34" s="17"/>
      <c r="O34" s="17"/>
      <c r="P34" s="17"/>
      <c r="Q34" s="17"/>
      <c r="R34" s="17"/>
      <c r="S34" s="17"/>
      <c r="T34" s="17"/>
      <c r="U34" s="19"/>
    </row>
    <row r="35" spans="1:21" ht="17.25" customHeight="1">
      <c r="G35" s="67"/>
      <c r="H35" s="41"/>
      <c r="I35" s="41"/>
      <c r="J35" s="17"/>
      <c r="K35" s="17"/>
      <c r="L35" s="17"/>
      <c r="M35" s="17"/>
      <c r="N35" s="17"/>
      <c r="O35" s="17"/>
      <c r="P35" s="17"/>
      <c r="Q35" s="17"/>
      <c r="R35" s="17"/>
      <c r="S35" s="17"/>
      <c r="T35" s="17"/>
      <c r="U35" s="19"/>
    </row>
    <row r="36" spans="1:21" ht="17.25" customHeight="1">
      <c r="G36" s="67"/>
      <c r="H36" s="41"/>
      <c r="I36" s="41"/>
      <c r="J36" s="17"/>
      <c r="K36" s="17"/>
      <c r="L36" s="17"/>
      <c r="M36" s="17"/>
      <c r="N36" s="17"/>
      <c r="O36" s="17"/>
      <c r="P36" s="17"/>
      <c r="Q36" s="17"/>
      <c r="R36" s="17"/>
      <c r="S36" s="17"/>
      <c r="T36" s="17"/>
      <c r="U36" s="19"/>
    </row>
    <row r="37" spans="1:21" ht="17.25" customHeight="1">
      <c r="G37" s="67"/>
      <c r="H37" s="41"/>
      <c r="I37" s="41"/>
      <c r="J37" s="17"/>
      <c r="K37" s="17"/>
      <c r="L37" s="17"/>
      <c r="M37" s="17"/>
      <c r="N37" s="17"/>
      <c r="O37" s="17"/>
      <c r="P37" s="17"/>
      <c r="Q37" s="17"/>
      <c r="R37" s="17"/>
      <c r="S37" s="17"/>
      <c r="T37" s="17"/>
      <c r="U37" s="19"/>
    </row>
    <row r="38" spans="1:21" ht="17.25" customHeight="1">
      <c r="G38" s="67"/>
      <c r="H38" s="41"/>
      <c r="I38" s="41"/>
      <c r="J38" s="17"/>
      <c r="K38" s="17"/>
      <c r="L38" s="17"/>
      <c r="M38" s="17"/>
      <c r="N38" s="17"/>
      <c r="O38" s="17"/>
      <c r="P38" s="17"/>
      <c r="Q38" s="17"/>
      <c r="R38" s="17"/>
      <c r="S38" s="17"/>
      <c r="T38" s="17"/>
      <c r="U38" s="19"/>
    </row>
    <row r="39" spans="1:21" ht="17.25" customHeight="1">
      <c r="G39" s="41"/>
      <c r="H39" s="41"/>
      <c r="I39" s="41"/>
      <c r="J39" s="17"/>
      <c r="K39" s="17"/>
      <c r="L39" s="17"/>
      <c r="M39" s="17"/>
      <c r="N39" s="17"/>
      <c r="O39" s="17"/>
      <c r="P39" s="17"/>
      <c r="Q39" s="17"/>
      <c r="R39" s="17"/>
      <c r="S39" s="17"/>
      <c r="T39" s="17"/>
      <c r="U39" s="19"/>
    </row>
    <row r="40" spans="1:21" ht="17.25" customHeight="1">
      <c r="A40" s="81"/>
      <c r="B40" s="82"/>
      <c r="C40" s="82"/>
      <c r="D40" s="83"/>
      <c r="E40" s="84"/>
      <c r="F40" s="82"/>
      <c r="G40" s="82"/>
      <c r="H40" s="82"/>
      <c r="I40" s="82"/>
      <c r="J40" s="85"/>
      <c r="K40" s="85"/>
      <c r="L40" s="85"/>
      <c r="M40" s="85"/>
      <c r="N40" s="85"/>
      <c r="O40" s="85"/>
      <c r="P40" s="85"/>
      <c r="Q40" s="85"/>
      <c r="R40" s="85"/>
      <c r="S40" s="85"/>
      <c r="T40" s="85"/>
      <c r="U40" s="86"/>
    </row>
  </sheetData>
  <mergeCells count="20">
    <mergeCell ref="G15:H15"/>
    <mergeCell ref="G14:H14"/>
    <mergeCell ref="G13:H13"/>
    <mergeCell ref="B1:F1"/>
    <mergeCell ref="Q1:U1"/>
    <mergeCell ref="G18:H18"/>
    <mergeCell ref="B15:C15"/>
    <mergeCell ref="K21:N21"/>
    <mergeCell ref="G16:H16"/>
    <mergeCell ref="B21:F21"/>
    <mergeCell ref="B13:C13"/>
    <mergeCell ref="A12:H12"/>
    <mergeCell ref="L1:P1"/>
    <mergeCell ref="B18:C18"/>
    <mergeCell ref="B17:C17"/>
    <mergeCell ref="G17:H17"/>
    <mergeCell ref="B14:C14"/>
    <mergeCell ref="B16:C16"/>
    <mergeCell ref="A1:A2"/>
    <mergeCell ref="G1:K1"/>
  </mergeCells>
  <conditionalFormatting sqref="N13">
    <cfRule type="cellIs" dxfId="0" priority="1" stopIfTrue="1" operator="lessThan">
      <formula>0</formula>
    </cfRule>
  </conditionalFormatting>
  <printOptions horizontalCentered="1" verticalCentered="1"/>
  <pageMargins left="0.19685" right="0.19685" top="0" bottom="0" header="0.25" footer="0.25"/>
  <pageSetup paperSize="9" scale="84" orientation="landscape" r:id="rId1"/>
  <headerFooter>
    <oddHeader>&amp;CYotto.in Start-up Funding Financial Projections - PL, RoI, NPV, IRR</oddHead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
  <sheetViews>
    <sheetView showGridLines="0" workbookViewId="0"/>
  </sheetViews>
  <sheetFormatPr defaultColWidth="14.44140625" defaultRowHeight="15" customHeight="1"/>
  <cols>
    <col min="1" max="1" width="33.33203125" style="352" customWidth="1"/>
    <col min="2" max="2" width="14" style="352" customWidth="1"/>
    <col min="3" max="19" width="4.6640625" style="352" customWidth="1"/>
    <col min="20" max="256" width="14.44140625" style="352" customWidth="1"/>
  </cols>
  <sheetData>
    <row r="1" spans="1:19" ht="14.7" customHeight="1">
      <c r="A1" s="404" t="s">
        <v>216</v>
      </c>
      <c r="B1" s="405"/>
      <c r="C1" s="405"/>
      <c r="D1" s="405"/>
      <c r="E1" s="405"/>
      <c r="F1" s="405"/>
      <c r="G1" s="405"/>
      <c r="H1" s="405"/>
      <c r="I1" s="405"/>
      <c r="J1" s="405"/>
      <c r="K1" s="405"/>
      <c r="L1" s="405"/>
      <c r="M1" s="405"/>
      <c r="N1" s="405"/>
      <c r="O1" s="405"/>
      <c r="P1" s="405"/>
      <c r="Q1" s="405"/>
      <c r="R1" s="405"/>
      <c r="S1" s="421"/>
    </row>
    <row r="2" spans="1:19" ht="19.5" customHeight="1">
      <c r="A2" s="402"/>
      <c r="B2" s="473"/>
      <c r="C2" s="472"/>
      <c r="D2" s="471" t="s">
        <v>1</v>
      </c>
      <c r="E2" s="390"/>
      <c r="F2" s="390"/>
      <c r="G2" s="391"/>
      <c r="H2" s="418" t="s">
        <v>2</v>
      </c>
      <c r="I2" s="390"/>
      <c r="J2" s="390"/>
      <c r="K2" s="391"/>
      <c r="L2" s="471" t="s">
        <v>3</v>
      </c>
      <c r="M2" s="390"/>
      <c r="N2" s="390"/>
      <c r="O2" s="391"/>
      <c r="P2" s="418" t="s">
        <v>4</v>
      </c>
      <c r="Q2" s="390"/>
      <c r="R2" s="390"/>
      <c r="S2" s="391"/>
    </row>
    <row r="3" spans="1:19" ht="19.5" customHeight="1">
      <c r="A3" s="397"/>
      <c r="B3" s="397"/>
      <c r="C3" s="397"/>
      <c r="D3" s="353" t="s">
        <v>5</v>
      </c>
      <c r="E3" s="353" t="s">
        <v>6</v>
      </c>
      <c r="F3" s="353" t="s">
        <v>7</v>
      </c>
      <c r="G3" s="353" t="s">
        <v>8</v>
      </c>
      <c r="H3" s="206" t="s">
        <v>5</v>
      </c>
      <c r="I3" s="206" t="s">
        <v>6</v>
      </c>
      <c r="J3" s="206" t="s">
        <v>7</v>
      </c>
      <c r="K3" s="206" t="s">
        <v>8</v>
      </c>
      <c r="L3" s="353" t="s">
        <v>5</v>
      </c>
      <c r="M3" s="353" t="s">
        <v>6</v>
      </c>
      <c r="N3" s="353" t="s">
        <v>7</v>
      </c>
      <c r="O3" s="353" t="s">
        <v>8</v>
      </c>
      <c r="P3" s="206" t="s">
        <v>5</v>
      </c>
      <c r="Q3" s="206" t="s">
        <v>6</v>
      </c>
      <c r="R3" s="206" t="s">
        <v>7</v>
      </c>
      <c r="S3" s="206" t="s">
        <v>8</v>
      </c>
    </row>
    <row r="4" spans="1:19" ht="20.25" customHeight="1">
      <c r="A4" s="319" t="s">
        <v>217</v>
      </c>
      <c r="B4" s="354" t="s">
        <v>218</v>
      </c>
      <c r="C4" s="99"/>
      <c r="D4" s="303"/>
      <c r="E4" s="303"/>
      <c r="F4" s="303"/>
      <c r="G4" s="303"/>
      <c r="H4" s="355"/>
      <c r="I4" s="355"/>
      <c r="J4" s="355"/>
      <c r="K4" s="355"/>
      <c r="L4" s="303"/>
      <c r="M4" s="303"/>
      <c r="N4" s="303"/>
      <c r="O4" s="303"/>
      <c r="P4" s="355"/>
      <c r="Q4" s="355"/>
      <c r="R4" s="355"/>
      <c r="S4" s="355"/>
    </row>
    <row r="5" spans="1:19" ht="19.5" customHeight="1">
      <c r="A5" s="104" t="s">
        <v>219</v>
      </c>
      <c r="B5" s="305"/>
      <c r="C5" s="114"/>
      <c r="D5" s="307"/>
      <c r="E5" s="307"/>
      <c r="F5" s="307"/>
      <c r="G5" s="307"/>
      <c r="H5" s="306"/>
      <c r="I5" s="306"/>
      <c r="J5" s="306"/>
      <c r="K5" s="306"/>
      <c r="L5" s="307"/>
      <c r="M5" s="307"/>
      <c r="N5" s="307"/>
      <c r="O5" s="307"/>
      <c r="P5" s="306"/>
      <c r="Q5" s="306"/>
      <c r="R5" s="306"/>
      <c r="S5" s="306"/>
    </row>
    <row r="6" spans="1:19" ht="19.5" customHeight="1">
      <c r="A6" s="104" t="s">
        <v>220</v>
      </c>
      <c r="B6" s="305"/>
      <c r="C6" s="114"/>
      <c r="D6" s="307"/>
      <c r="E6" s="307"/>
      <c r="F6" s="307"/>
      <c r="G6" s="307"/>
      <c r="H6" s="306"/>
      <c r="I6" s="306"/>
      <c r="J6" s="306"/>
      <c r="K6" s="306"/>
      <c r="L6" s="307"/>
      <c r="M6" s="307"/>
      <c r="N6" s="307"/>
      <c r="O6" s="307"/>
      <c r="P6" s="306"/>
      <c r="Q6" s="306"/>
      <c r="R6" s="306"/>
      <c r="S6" s="306"/>
    </row>
    <row r="7" spans="1:19" ht="19.5" customHeight="1">
      <c r="A7" s="104" t="s">
        <v>221</v>
      </c>
      <c r="B7" s="308" t="s">
        <v>222</v>
      </c>
      <c r="C7" s="356">
        <v>5.0000000000000001E-4</v>
      </c>
      <c r="D7" s="311">
        <f>$C$7*'Revenue Projection'!D66*10000000/100000</f>
        <v>0</v>
      </c>
      <c r="E7" s="311">
        <f>$C$7*'Revenue Projection'!E66*10000000/100000</f>
        <v>1.3432500000000003E-3</v>
      </c>
      <c r="F7" s="311">
        <f>$C$7*'Revenue Projection'!F66*10000000/100000</f>
        <v>3.43575E-3</v>
      </c>
      <c r="G7" s="311">
        <f>$C$7*'Revenue Projection'!G66*10000000/100000</f>
        <v>1.7070749999999999E-2</v>
      </c>
      <c r="H7" s="295">
        <f>$C$7*'Revenue Projection'!H66*10000000/100000</f>
        <v>5.9951249999999998E-2</v>
      </c>
      <c r="I7" s="295">
        <f>$C$7*'Revenue Projection'!I66*10000000/100000</f>
        <v>0.18608625000000004</v>
      </c>
      <c r="J7" s="295">
        <f>$C$7*'Revenue Projection'!J66*10000000/100000</f>
        <v>0.45046125000000009</v>
      </c>
      <c r="K7" s="295">
        <f>$C$7*'Revenue Projection'!K66*10000000/100000</f>
        <v>0.93330675000000007</v>
      </c>
      <c r="L7" s="311">
        <f>$C$7*'Revenue Projection'!L66*10000000/100000</f>
        <v>1.6670902500000002</v>
      </c>
      <c r="M7" s="311">
        <f>$C$7*'Revenue Projection'!M66*10000000/100000</f>
        <v>2.7300262499999999</v>
      </c>
      <c r="N7" s="311">
        <f>$C$7*'Revenue Projection'!N66*10000000/100000</f>
        <v>3.9366742500000003</v>
      </c>
      <c r="O7" s="311">
        <f>$C$7*'Revenue Projection'!O66*10000000/100000</f>
        <v>5.3459842500000008</v>
      </c>
      <c r="P7" s="295">
        <f>$C$7*'Revenue Projection'!P66*10000000/100000</f>
        <v>6.9579562499999996</v>
      </c>
      <c r="Q7" s="295">
        <f>$C$7*'Revenue Projection'!Q66*10000000/100000</f>
        <v>8.7725902500000004</v>
      </c>
      <c r="R7" s="295">
        <f>$C$7*'Revenue Projection'!R66*10000000/100000</f>
        <v>10.789886250000002</v>
      </c>
      <c r="S7" s="295">
        <f>$C$7*'Revenue Projection'!S66*10000000/100000</f>
        <v>13.00984425</v>
      </c>
    </row>
    <row r="8" spans="1:19" ht="19.5" customHeight="1">
      <c r="A8" s="104" t="s">
        <v>223</v>
      </c>
      <c r="B8" s="305"/>
      <c r="C8" s="114"/>
      <c r="D8" s="311"/>
      <c r="E8" s="311"/>
      <c r="F8" s="311"/>
      <c r="G8" s="311"/>
      <c r="H8" s="295"/>
      <c r="I8" s="295"/>
      <c r="J8" s="295"/>
      <c r="K8" s="295"/>
      <c r="L8" s="311"/>
      <c r="M8" s="311"/>
      <c r="N8" s="311"/>
      <c r="O8" s="311"/>
      <c r="P8" s="295"/>
      <c r="Q8" s="295"/>
      <c r="R8" s="295"/>
      <c r="S8" s="295"/>
    </row>
    <row r="9" spans="1:19" ht="19.5" customHeight="1">
      <c r="A9" s="104" t="s">
        <v>224</v>
      </c>
      <c r="B9" s="308" t="s">
        <v>225</v>
      </c>
      <c r="C9" s="114"/>
      <c r="D9" s="311"/>
      <c r="E9" s="311"/>
      <c r="F9" s="311"/>
      <c r="G9" s="311"/>
      <c r="H9" s="295"/>
      <c r="I9" s="295"/>
      <c r="J9" s="295"/>
      <c r="K9" s="295"/>
      <c r="L9" s="311"/>
      <c r="M9" s="311"/>
      <c r="N9" s="311"/>
      <c r="O9" s="311"/>
      <c r="P9" s="295"/>
      <c r="Q9" s="295"/>
      <c r="R9" s="295"/>
      <c r="S9" s="295"/>
    </row>
    <row r="10" spans="1:19" ht="19.5" customHeight="1">
      <c r="A10" s="104" t="s">
        <v>226</v>
      </c>
      <c r="B10" s="308" t="s">
        <v>227</v>
      </c>
      <c r="C10" s="108">
        <v>0.05</v>
      </c>
      <c r="D10" s="311">
        <f>'Revenue Projection'!D36*'Revenue Projection'!D34*30*3*$C$10/100000</f>
        <v>1.1249999999999999E-3</v>
      </c>
      <c r="E10" s="311">
        <f>'Revenue Projection'!E36*'Revenue Projection'!E34*30*3*$C$10/100000</f>
        <v>1.575E-3</v>
      </c>
      <c r="F10" s="311">
        <f>'Revenue Projection'!F36*'Revenue Projection'!F34*30*3*$C$10/100000</f>
        <v>2.4750000000000002E-3</v>
      </c>
      <c r="G10" s="311">
        <f>'Revenue Projection'!G36*'Revenue Projection'!G34*30*3*$C$10/100000</f>
        <v>6.7499999999999999E-3</v>
      </c>
      <c r="H10" s="295">
        <f>'Revenue Projection'!H36*'Revenue Projection'!H34*30*3*$C$10/100000</f>
        <v>2.0475E-2</v>
      </c>
      <c r="I10" s="295">
        <f>'Revenue Projection'!I36*'Revenue Projection'!I34*30*3*$C$10/100000</f>
        <v>5.985E-2</v>
      </c>
      <c r="J10" s="295">
        <f>'Revenue Projection'!J36*'Revenue Projection'!J34*30*3*$C$10/100000</f>
        <v>0.14355000000000001</v>
      </c>
      <c r="K10" s="295">
        <f>'Revenue Projection'!K36*'Revenue Projection'!K34*30*3*$C$10/100000</f>
        <v>0.29520000000000002</v>
      </c>
      <c r="L10" s="311">
        <f>'Revenue Projection'!L36*'Revenue Projection'!L34*30*3*$C$10/100000</f>
        <v>0.54269999999999996</v>
      </c>
      <c r="M10" s="311">
        <f>'Revenue Projection'!M36*'Revenue Projection'!M34*30*3*$C$10/100000</f>
        <v>0.91305000000000003</v>
      </c>
      <c r="N10" s="311">
        <f>'Revenue Projection'!N36*'Revenue Projection'!N34*30*3*$C$10/100000</f>
        <v>1.3711500000000001</v>
      </c>
      <c r="O10" s="311">
        <f>'Revenue Projection'!O36*'Revenue Projection'!O34*30*3*$C$10/100000</f>
        <v>1.91655</v>
      </c>
      <c r="P10" s="295">
        <f>'Revenue Projection'!P36*'Revenue Projection'!P34*30*3*$C$10/100000</f>
        <v>2.5492499999999998</v>
      </c>
      <c r="Q10" s="295">
        <f>'Revenue Projection'!Q36*'Revenue Projection'!Q34*30*3*$C$10/100000</f>
        <v>3.2696999999999998</v>
      </c>
      <c r="R10" s="295">
        <f>'Revenue Projection'!R36*'Revenue Projection'!R34*30*3*$C$10/100000</f>
        <v>4.0774499999999998</v>
      </c>
      <c r="S10" s="295">
        <f>'Revenue Projection'!S36*'Revenue Projection'!S34*30*3*$C$10/100000</f>
        <v>4.97295</v>
      </c>
    </row>
  </sheetData>
  <mergeCells count="8">
    <mergeCell ref="A2:A3"/>
    <mergeCell ref="L2:O2"/>
    <mergeCell ref="A1:S1"/>
    <mergeCell ref="C2:C3"/>
    <mergeCell ref="B2:B3"/>
    <mergeCell ref="D2:G2"/>
    <mergeCell ref="H2:K2"/>
    <mergeCell ref="P2:S2"/>
  </mergeCells>
  <pageMargins left="0.19685" right="0.19685" top="1" bottom="1" header="0" footer="0"/>
  <pageSetup scale="107" orientation="landscape"/>
  <headerFooter>
    <oddFooter>&amp;C&amp;"Helvetica Neue,Regular"&amp;10&amp;K000000000000&amp;P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
  <sheetViews>
    <sheetView showGridLines="0" workbookViewId="0"/>
  </sheetViews>
  <sheetFormatPr defaultColWidth="14.44140625" defaultRowHeight="15" customHeight="1"/>
  <cols>
    <col min="1" max="1" width="25.6640625" style="357" customWidth="1"/>
    <col min="2" max="2" width="67.44140625" style="357" customWidth="1"/>
    <col min="3" max="256" width="14.44140625" style="357" customWidth="1"/>
  </cols>
  <sheetData>
    <row r="1" spans="1:2" ht="19.5" customHeight="1">
      <c r="A1" s="474" t="s">
        <v>228</v>
      </c>
      <c r="B1" s="474" t="s">
        <v>229</v>
      </c>
    </row>
    <row r="2" spans="1:2" ht="20.25" customHeight="1">
      <c r="A2" s="431"/>
      <c r="B2" s="431"/>
    </row>
    <row r="3" spans="1:2" ht="31.5" customHeight="1">
      <c r="A3" s="126" t="s">
        <v>230</v>
      </c>
      <c r="B3" s="228" t="s">
        <v>231</v>
      </c>
    </row>
    <row r="4" spans="1:2" ht="31.5" customHeight="1">
      <c r="A4" s="126" t="s">
        <v>232</v>
      </c>
      <c r="B4" s="228" t="s">
        <v>233</v>
      </c>
    </row>
    <row r="5" spans="1:2" ht="43.5" customHeight="1">
      <c r="A5" s="126" t="s">
        <v>234</v>
      </c>
      <c r="B5" s="228" t="s">
        <v>235</v>
      </c>
    </row>
    <row r="6" spans="1:2" ht="31.5" customHeight="1">
      <c r="A6" s="126" t="s">
        <v>236</v>
      </c>
      <c r="B6" s="228" t="s">
        <v>237</v>
      </c>
    </row>
    <row r="7" spans="1:2" ht="55.5" customHeight="1">
      <c r="A7" s="126" t="s">
        <v>238</v>
      </c>
      <c r="B7" s="228" t="s">
        <v>239</v>
      </c>
    </row>
    <row r="8" spans="1:2" ht="43.5" customHeight="1">
      <c r="A8" s="126" t="s">
        <v>240</v>
      </c>
      <c r="B8" s="228" t="s">
        <v>241</v>
      </c>
    </row>
    <row r="9" spans="1:2" ht="31.5" customHeight="1">
      <c r="A9" s="126" t="s">
        <v>242</v>
      </c>
      <c r="B9" s="228" t="s">
        <v>243</v>
      </c>
    </row>
    <row r="10" spans="1:2" ht="31.5" customHeight="1">
      <c r="A10" s="126" t="s">
        <v>244</v>
      </c>
      <c r="B10" s="228" t="s">
        <v>245</v>
      </c>
    </row>
    <row r="11" spans="1:2" ht="31.5" customHeight="1">
      <c r="A11" s="126" t="s">
        <v>246</v>
      </c>
      <c r="B11" s="228" t="s">
        <v>245</v>
      </c>
    </row>
    <row r="12" spans="1:2" ht="31.5" customHeight="1">
      <c r="A12" s="126" t="s">
        <v>247</v>
      </c>
      <c r="B12" s="228" t="s">
        <v>248</v>
      </c>
    </row>
    <row r="13" spans="1:2" ht="31.5" customHeight="1">
      <c r="A13" s="126" t="s">
        <v>249</v>
      </c>
      <c r="B13" s="228" t="s">
        <v>250</v>
      </c>
    </row>
    <row r="14" spans="1:2" ht="19.5" customHeight="1">
      <c r="A14" s="126" t="s">
        <v>212</v>
      </c>
      <c r="B14" s="228" t="s">
        <v>251</v>
      </c>
    </row>
    <row r="15" spans="1:2" ht="19.5" customHeight="1">
      <c r="A15" s="126" t="s">
        <v>211</v>
      </c>
      <c r="B15" s="228" t="s">
        <v>252</v>
      </c>
    </row>
    <row r="16" spans="1:2" ht="19.5" customHeight="1">
      <c r="A16" s="126" t="s">
        <v>213</v>
      </c>
      <c r="B16" s="228" t="s">
        <v>253</v>
      </c>
    </row>
  </sheetData>
  <mergeCells count="2">
    <mergeCell ref="A1:A2"/>
    <mergeCell ref="B1:B2"/>
  </mergeCells>
  <pageMargins left="0.5" right="0.5" top="0.75" bottom="0.75" header="0" footer="0"/>
  <pageSetup scale="80" orientation="landscape"/>
  <headerFooter>
    <oddFooter>&amp;C&amp;"Helvetica Neue,Regular"&amp;10&amp;K000000000000&amp;P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1"/>
  <sheetViews>
    <sheetView showGridLines="0" zoomScale="32" zoomScaleNormal="32" workbookViewId="0">
      <selection activeCell="A39" sqref="A39:XFD39"/>
    </sheetView>
  </sheetViews>
  <sheetFormatPr defaultColWidth="14.44140625" defaultRowHeight="15" customHeight="1"/>
  <cols>
    <col min="1" max="1" width="45.33203125" style="87" customWidth="1"/>
    <col min="2" max="2" width="17.33203125" style="87" customWidth="1"/>
    <col min="3" max="3" width="6.44140625" style="87" customWidth="1"/>
    <col min="4" max="19" width="15.77734375" style="87" customWidth="1"/>
    <col min="20" max="256" width="14.44140625" style="87" customWidth="1"/>
  </cols>
  <sheetData>
    <row r="1" spans="1:19" ht="27" customHeight="1">
      <c r="A1" s="383" t="s">
        <v>39</v>
      </c>
      <c r="B1" s="384"/>
      <c r="C1" s="384"/>
      <c r="D1" s="385"/>
      <c r="E1" s="385"/>
      <c r="F1" s="385"/>
      <c r="G1" s="385"/>
      <c r="H1" s="384"/>
      <c r="I1" s="384"/>
      <c r="J1" s="384"/>
      <c r="K1" s="384"/>
      <c r="L1" s="385"/>
      <c r="M1" s="385"/>
      <c r="N1" s="385"/>
      <c r="O1" s="385"/>
      <c r="P1" s="384"/>
      <c r="Q1" s="384"/>
      <c r="R1" s="384"/>
      <c r="S1" s="386"/>
    </row>
    <row r="2" spans="1:19" ht="19.5" customHeight="1">
      <c r="A2" s="402"/>
      <c r="B2" s="396" t="s">
        <v>40</v>
      </c>
      <c r="C2" s="394" t="s">
        <v>41</v>
      </c>
      <c r="D2" s="398" t="s">
        <v>1</v>
      </c>
      <c r="E2" s="399"/>
      <c r="F2" s="399"/>
      <c r="G2" s="400"/>
      <c r="H2" s="401" t="s">
        <v>2</v>
      </c>
      <c r="I2" s="390"/>
      <c r="J2" s="390"/>
      <c r="K2" s="388"/>
      <c r="L2" s="398" t="s">
        <v>3</v>
      </c>
      <c r="M2" s="399"/>
      <c r="N2" s="399"/>
      <c r="O2" s="400"/>
      <c r="P2" s="401" t="s">
        <v>4</v>
      </c>
      <c r="Q2" s="390"/>
      <c r="R2" s="390"/>
      <c r="S2" s="391"/>
    </row>
    <row r="3" spans="1:19" ht="19.5" customHeight="1">
      <c r="A3" s="397"/>
      <c r="B3" s="397"/>
      <c r="C3" s="395"/>
      <c r="D3" s="89" t="s">
        <v>5</v>
      </c>
      <c r="E3" s="90" t="s">
        <v>6</v>
      </c>
      <c r="F3" s="90" t="s">
        <v>7</v>
      </c>
      <c r="G3" s="91" t="s">
        <v>8</v>
      </c>
      <c r="H3" s="92" t="s">
        <v>5</v>
      </c>
      <c r="I3" s="93" t="s">
        <v>6</v>
      </c>
      <c r="J3" s="93" t="s">
        <v>7</v>
      </c>
      <c r="K3" s="94" t="s">
        <v>8</v>
      </c>
      <c r="L3" s="89" t="s">
        <v>5</v>
      </c>
      <c r="M3" s="90" t="s">
        <v>6</v>
      </c>
      <c r="N3" s="90" t="s">
        <v>7</v>
      </c>
      <c r="O3" s="91" t="s">
        <v>8</v>
      </c>
      <c r="P3" s="92" t="s">
        <v>5</v>
      </c>
      <c r="Q3" s="93" t="s">
        <v>6</v>
      </c>
      <c r="R3" s="93" t="s">
        <v>7</v>
      </c>
      <c r="S3" s="93" t="s">
        <v>8</v>
      </c>
    </row>
    <row r="4" spans="1:19" ht="20.25" customHeight="1">
      <c r="A4" s="95" t="s">
        <v>42</v>
      </c>
      <c r="B4" s="96"/>
      <c r="C4" s="97"/>
      <c r="D4" s="98"/>
      <c r="E4" s="99"/>
      <c r="F4" s="99"/>
      <c r="G4" s="100"/>
      <c r="H4" s="101"/>
      <c r="I4" s="102"/>
      <c r="J4" s="102"/>
      <c r="K4" s="103"/>
      <c r="L4" s="98"/>
      <c r="M4" s="99"/>
      <c r="N4" s="99"/>
      <c r="O4" s="100"/>
      <c r="P4" s="101"/>
      <c r="Q4" s="102"/>
      <c r="R4" s="102"/>
      <c r="S4" s="102"/>
    </row>
    <row r="5" spans="1:19" ht="19.5" customHeight="1">
      <c r="A5" s="104" t="s">
        <v>43</v>
      </c>
      <c r="B5" s="105"/>
      <c r="C5" s="106"/>
      <c r="D5" s="107">
        <f t="shared" ref="D5:S5" si="0">5+1</f>
        <v>6</v>
      </c>
      <c r="E5" s="108">
        <f t="shared" si="0"/>
        <v>6</v>
      </c>
      <c r="F5" s="108">
        <f t="shared" si="0"/>
        <v>6</v>
      </c>
      <c r="G5" s="109">
        <f t="shared" si="0"/>
        <v>6</v>
      </c>
      <c r="H5" s="110">
        <f t="shared" si="0"/>
        <v>6</v>
      </c>
      <c r="I5" s="111">
        <f t="shared" si="0"/>
        <v>6</v>
      </c>
      <c r="J5" s="111">
        <f t="shared" si="0"/>
        <v>6</v>
      </c>
      <c r="K5" s="112">
        <f t="shared" si="0"/>
        <v>6</v>
      </c>
      <c r="L5" s="107">
        <f t="shared" si="0"/>
        <v>6</v>
      </c>
      <c r="M5" s="108">
        <f t="shared" si="0"/>
        <v>6</v>
      </c>
      <c r="N5" s="108">
        <f t="shared" si="0"/>
        <v>6</v>
      </c>
      <c r="O5" s="109">
        <f t="shared" si="0"/>
        <v>6</v>
      </c>
      <c r="P5" s="110">
        <f t="shared" si="0"/>
        <v>6</v>
      </c>
      <c r="Q5" s="111">
        <f t="shared" si="0"/>
        <v>6</v>
      </c>
      <c r="R5" s="111">
        <f t="shared" si="0"/>
        <v>6</v>
      </c>
      <c r="S5" s="111">
        <f t="shared" si="0"/>
        <v>6</v>
      </c>
    </row>
    <row r="6" spans="1:19" ht="19.5" customHeight="1">
      <c r="A6" s="104" t="s">
        <v>44</v>
      </c>
      <c r="B6" s="105"/>
      <c r="C6" s="106"/>
      <c r="D6" s="113"/>
      <c r="E6" s="114"/>
      <c r="F6" s="108">
        <v>2</v>
      </c>
      <c r="G6" s="109">
        <v>4</v>
      </c>
      <c r="H6" s="110">
        <v>6</v>
      </c>
      <c r="I6" s="111">
        <v>8</v>
      </c>
      <c r="J6" s="111">
        <v>10</v>
      </c>
      <c r="K6" s="112">
        <v>12</v>
      </c>
      <c r="L6" s="107">
        <v>12</v>
      </c>
      <c r="M6" s="108">
        <v>12</v>
      </c>
      <c r="N6" s="108">
        <v>12</v>
      </c>
      <c r="O6" s="109">
        <v>12</v>
      </c>
      <c r="P6" s="110">
        <v>12</v>
      </c>
      <c r="Q6" s="111">
        <v>12</v>
      </c>
      <c r="R6" s="111">
        <v>12</v>
      </c>
      <c r="S6" s="111">
        <v>12</v>
      </c>
    </row>
    <row r="7" spans="1:19" ht="19.5" customHeight="1">
      <c r="A7" s="104" t="s">
        <v>45</v>
      </c>
      <c r="B7" s="105"/>
      <c r="C7" s="106"/>
      <c r="D7" s="113"/>
      <c r="E7" s="114"/>
      <c r="F7" s="108">
        <v>2</v>
      </c>
      <c r="G7" s="109">
        <v>4</v>
      </c>
      <c r="H7" s="110">
        <v>6</v>
      </c>
      <c r="I7" s="111">
        <v>8</v>
      </c>
      <c r="J7" s="111">
        <v>10</v>
      </c>
      <c r="K7" s="112">
        <v>12</v>
      </c>
      <c r="L7" s="107">
        <v>12</v>
      </c>
      <c r="M7" s="108">
        <v>12</v>
      </c>
      <c r="N7" s="108">
        <v>12</v>
      </c>
      <c r="O7" s="109">
        <v>12</v>
      </c>
      <c r="P7" s="110">
        <v>12</v>
      </c>
      <c r="Q7" s="111">
        <v>12</v>
      </c>
      <c r="R7" s="111">
        <v>12</v>
      </c>
      <c r="S7" s="111">
        <v>12</v>
      </c>
    </row>
    <row r="8" spans="1:19" ht="19.5" customHeight="1">
      <c r="A8" s="104" t="s">
        <v>46</v>
      </c>
      <c r="B8" s="105"/>
      <c r="C8" s="106"/>
      <c r="D8" s="113"/>
      <c r="E8" s="114"/>
      <c r="F8" s="114"/>
      <c r="G8" s="109">
        <v>2</v>
      </c>
      <c r="H8" s="110">
        <v>4</v>
      </c>
      <c r="I8" s="111">
        <v>6</v>
      </c>
      <c r="J8" s="111">
        <v>8</v>
      </c>
      <c r="K8" s="112">
        <v>10</v>
      </c>
      <c r="L8" s="107">
        <v>12</v>
      </c>
      <c r="M8" s="108">
        <v>12</v>
      </c>
      <c r="N8" s="108">
        <v>12</v>
      </c>
      <c r="O8" s="109">
        <v>12</v>
      </c>
      <c r="P8" s="110">
        <v>12</v>
      </c>
      <c r="Q8" s="111">
        <v>12</v>
      </c>
      <c r="R8" s="111">
        <v>12</v>
      </c>
      <c r="S8" s="111">
        <v>12</v>
      </c>
    </row>
    <row r="9" spans="1:19" ht="19.5" customHeight="1">
      <c r="A9" s="104" t="s">
        <v>47</v>
      </c>
      <c r="B9" s="105"/>
      <c r="C9" s="106"/>
      <c r="D9" s="113"/>
      <c r="E9" s="114"/>
      <c r="F9" s="114"/>
      <c r="G9" s="109">
        <v>2</v>
      </c>
      <c r="H9" s="110">
        <v>4</v>
      </c>
      <c r="I9" s="111">
        <v>6</v>
      </c>
      <c r="J9" s="111">
        <v>8</v>
      </c>
      <c r="K9" s="112">
        <v>10</v>
      </c>
      <c r="L9" s="107">
        <v>12</v>
      </c>
      <c r="M9" s="108">
        <v>12</v>
      </c>
      <c r="N9" s="108">
        <v>12</v>
      </c>
      <c r="O9" s="109">
        <v>12</v>
      </c>
      <c r="P9" s="110">
        <v>12</v>
      </c>
      <c r="Q9" s="111">
        <v>12</v>
      </c>
      <c r="R9" s="111">
        <v>12</v>
      </c>
      <c r="S9" s="111">
        <v>12</v>
      </c>
    </row>
    <row r="10" spans="1:19" ht="19.5" customHeight="1">
      <c r="A10" s="104" t="s">
        <v>48</v>
      </c>
      <c r="B10" s="105"/>
      <c r="C10" s="106"/>
      <c r="D10" s="107">
        <f t="shared" ref="D10:S10" si="1">SUM(D5:D9)</f>
        <v>6</v>
      </c>
      <c r="E10" s="108">
        <f t="shared" si="1"/>
        <v>6</v>
      </c>
      <c r="F10" s="108">
        <f t="shared" si="1"/>
        <v>10</v>
      </c>
      <c r="G10" s="109">
        <f t="shared" si="1"/>
        <v>18</v>
      </c>
      <c r="H10" s="110">
        <f t="shared" si="1"/>
        <v>26</v>
      </c>
      <c r="I10" s="111">
        <f t="shared" si="1"/>
        <v>34</v>
      </c>
      <c r="J10" s="111">
        <f t="shared" si="1"/>
        <v>42</v>
      </c>
      <c r="K10" s="112">
        <f t="shared" si="1"/>
        <v>50</v>
      </c>
      <c r="L10" s="107">
        <f t="shared" si="1"/>
        <v>54</v>
      </c>
      <c r="M10" s="108">
        <f t="shared" si="1"/>
        <v>54</v>
      </c>
      <c r="N10" s="108">
        <f t="shared" si="1"/>
        <v>54</v>
      </c>
      <c r="O10" s="109">
        <f t="shared" si="1"/>
        <v>54</v>
      </c>
      <c r="P10" s="110">
        <f t="shared" si="1"/>
        <v>54</v>
      </c>
      <c r="Q10" s="111">
        <f t="shared" si="1"/>
        <v>54</v>
      </c>
      <c r="R10" s="111">
        <f t="shared" si="1"/>
        <v>54</v>
      </c>
      <c r="S10" s="111">
        <f t="shared" si="1"/>
        <v>54</v>
      </c>
    </row>
    <row r="11" spans="1:19" ht="19.5" customHeight="1">
      <c r="A11" s="104" t="s">
        <v>49</v>
      </c>
      <c r="B11" s="105"/>
      <c r="C11" s="106"/>
      <c r="D11" s="107">
        <v>1</v>
      </c>
      <c r="E11" s="108">
        <v>1</v>
      </c>
      <c r="F11" s="108">
        <v>2</v>
      </c>
      <c r="G11" s="109">
        <v>2</v>
      </c>
      <c r="H11" s="110">
        <v>3</v>
      </c>
      <c r="I11" s="111">
        <v>3</v>
      </c>
      <c r="J11" s="111">
        <v>3</v>
      </c>
      <c r="K11" s="112">
        <v>3</v>
      </c>
      <c r="L11" s="107">
        <v>3</v>
      </c>
      <c r="M11" s="108">
        <v>3</v>
      </c>
      <c r="N11" s="108">
        <v>3</v>
      </c>
      <c r="O11" s="109">
        <v>3</v>
      </c>
      <c r="P11" s="110">
        <v>3</v>
      </c>
      <c r="Q11" s="111">
        <v>3</v>
      </c>
      <c r="R11" s="111">
        <v>3</v>
      </c>
      <c r="S11" s="111">
        <v>3</v>
      </c>
    </row>
    <row r="12" spans="1:19" ht="19.5" customHeight="1">
      <c r="A12" s="104" t="s">
        <v>50</v>
      </c>
      <c r="B12" s="105"/>
      <c r="C12" s="106"/>
      <c r="D12" s="115">
        <f t="shared" ref="D12:S12" si="2">D11*D10*3</f>
        <v>18</v>
      </c>
      <c r="E12" s="116">
        <f t="shared" si="2"/>
        <v>18</v>
      </c>
      <c r="F12" s="116">
        <f t="shared" si="2"/>
        <v>60</v>
      </c>
      <c r="G12" s="117">
        <f t="shared" si="2"/>
        <v>108</v>
      </c>
      <c r="H12" s="118">
        <f t="shared" si="2"/>
        <v>234</v>
      </c>
      <c r="I12" s="119">
        <f t="shared" si="2"/>
        <v>306</v>
      </c>
      <c r="J12" s="119">
        <f t="shared" si="2"/>
        <v>378</v>
      </c>
      <c r="K12" s="120">
        <f t="shared" si="2"/>
        <v>450</v>
      </c>
      <c r="L12" s="115">
        <f t="shared" si="2"/>
        <v>486</v>
      </c>
      <c r="M12" s="116">
        <f t="shared" si="2"/>
        <v>486</v>
      </c>
      <c r="N12" s="116">
        <f t="shared" si="2"/>
        <v>486</v>
      </c>
      <c r="O12" s="117">
        <f t="shared" si="2"/>
        <v>486</v>
      </c>
      <c r="P12" s="118">
        <f t="shared" si="2"/>
        <v>486</v>
      </c>
      <c r="Q12" s="119">
        <f t="shared" si="2"/>
        <v>486</v>
      </c>
      <c r="R12" s="119">
        <f t="shared" si="2"/>
        <v>486</v>
      </c>
      <c r="S12" s="119">
        <f t="shared" si="2"/>
        <v>486</v>
      </c>
    </row>
    <row r="13" spans="1:19" ht="19.5" customHeight="1">
      <c r="A13" s="104" t="s">
        <v>51</v>
      </c>
      <c r="B13" s="105"/>
      <c r="C13" s="106"/>
      <c r="D13" s="115">
        <f>D12</f>
        <v>18</v>
      </c>
      <c r="E13" s="116">
        <f t="shared" ref="E13:S13" si="3">D13+E12</f>
        <v>36</v>
      </c>
      <c r="F13" s="116">
        <f t="shared" si="3"/>
        <v>96</v>
      </c>
      <c r="G13" s="117">
        <f t="shared" si="3"/>
        <v>204</v>
      </c>
      <c r="H13" s="118">
        <f t="shared" si="3"/>
        <v>438</v>
      </c>
      <c r="I13" s="119">
        <f t="shared" si="3"/>
        <v>744</v>
      </c>
      <c r="J13" s="119">
        <f t="shared" si="3"/>
        <v>1122</v>
      </c>
      <c r="K13" s="120">
        <f t="shared" si="3"/>
        <v>1572</v>
      </c>
      <c r="L13" s="115">
        <f t="shared" si="3"/>
        <v>2058</v>
      </c>
      <c r="M13" s="116">
        <f t="shared" si="3"/>
        <v>2544</v>
      </c>
      <c r="N13" s="116">
        <f t="shared" si="3"/>
        <v>3030</v>
      </c>
      <c r="O13" s="117">
        <f t="shared" si="3"/>
        <v>3516</v>
      </c>
      <c r="P13" s="118">
        <f t="shared" si="3"/>
        <v>4002</v>
      </c>
      <c r="Q13" s="119">
        <f t="shared" si="3"/>
        <v>4488</v>
      </c>
      <c r="R13" s="119">
        <f t="shared" si="3"/>
        <v>4974</v>
      </c>
      <c r="S13" s="119">
        <f t="shared" si="3"/>
        <v>5460</v>
      </c>
    </row>
    <row r="14" spans="1:19" ht="19.5" customHeight="1">
      <c r="A14" s="104" t="s">
        <v>52</v>
      </c>
      <c r="B14" s="105"/>
      <c r="C14" s="106"/>
      <c r="D14" s="115">
        <v>1</v>
      </c>
      <c r="E14" s="116">
        <v>1</v>
      </c>
      <c r="F14" s="116">
        <v>2</v>
      </c>
      <c r="G14" s="117">
        <v>3</v>
      </c>
      <c r="H14" s="118">
        <v>4</v>
      </c>
      <c r="I14" s="119">
        <v>5</v>
      </c>
      <c r="J14" s="119">
        <v>6</v>
      </c>
      <c r="K14" s="120">
        <v>7</v>
      </c>
      <c r="L14" s="115">
        <v>8</v>
      </c>
      <c r="M14" s="116">
        <v>8</v>
      </c>
      <c r="N14" s="116">
        <v>8</v>
      </c>
      <c r="O14" s="117">
        <v>8</v>
      </c>
      <c r="P14" s="118">
        <v>8</v>
      </c>
      <c r="Q14" s="119">
        <v>8</v>
      </c>
      <c r="R14" s="119">
        <v>8</v>
      </c>
      <c r="S14" s="119">
        <v>8</v>
      </c>
    </row>
    <row r="15" spans="1:19" ht="19.5" customHeight="1">
      <c r="A15" s="104" t="s">
        <v>53</v>
      </c>
      <c r="B15" s="105"/>
      <c r="C15" s="106"/>
      <c r="D15" s="115">
        <v>0</v>
      </c>
      <c r="E15" s="116">
        <f t="shared" ref="E15:S15" si="4">D14*D13*3</f>
        <v>54</v>
      </c>
      <c r="F15" s="116">
        <f t="shared" si="4"/>
        <v>108</v>
      </c>
      <c r="G15" s="117">
        <f t="shared" si="4"/>
        <v>576</v>
      </c>
      <c r="H15" s="118">
        <f t="shared" si="4"/>
        <v>1836</v>
      </c>
      <c r="I15" s="119">
        <f t="shared" si="4"/>
        <v>5256</v>
      </c>
      <c r="J15" s="119">
        <f t="shared" si="4"/>
        <v>11160</v>
      </c>
      <c r="K15" s="120">
        <f t="shared" si="4"/>
        <v>20196</v>
      </c>
      <c r="L15" s="115">
        <f t="shared" si="4"/>
        <v>33012</v>
      </c>
      <c r="M15" s="116">
        <f t="shared" si="4"/>
        <v>49392</v>
      </c>
      <c r="N15" s="116">
        <f t="shared" si="4"/>
        <v>61056</v>
      </c>
      <c r="O15" s="117">
        <f t="shared" si="4"/>
        <v>72720</v>
      </c>
      <c r="P15" s="118">
        <f t="shared" si="4"/>
        <v>84384</v>
      </c>
      <c r="Q15" s="119">
        <f t="shared" si="4"/>
        <v>96048</v>
      </c>
      <c r="R15" s="119">
        <f t="shared" si="4"/>
        <v>107712</v>
      </c>
      <c r="S15" s="119">
        <f t="shared" si="4"/>
        <v>119376</v>
      </c>
    </row>
    <row r="16" spans="1:19" ht="19.5" customHeight="1">
      <c r="A16" s="104" t="s">
        <v>54</v>
      </c>
      <c r="B16" s="105"/>
      <c r="C16" s="106"/>
      <c r="D16" s="115">
        <f>D15</f>
        <v>0</v>
      </c>
      <c r="E16" s="116">
        <f t="shared" ref="E16:S16" si="5">D16+E15</f>
        <v>54</v>
      </c>
      <c r="F16" s="116">
        <f t="shared" si="5"/>
        <v>162</v>
      </c>
      <c r="G16" s="117">
        <f t="shared" si="5"/>
        <v>738</v>
      </c>
      <c r="H16" s="118">
        <f t="shared" si="5"/>
        <v>2574</v>
      </c>
      <c r="I16" s="119">
        <f t="shared" si="5"/>
        <v>7830</v>
      </c>
      <c r="J16" s="119">
        <f t="shared" si="5"/>
        <v>18990</v>
      </c>
      <c r="K16" s="120">
        <f t="shared" si="5"/>
        <v>39186</v>
      </c>
      <c r="L16" s="115">
        <f t="shared" si="5"/>
        <v>72198</v>
      </c>
      <c r="M16" s="116">
        <f t="shared" si="5"/>
        <v>121590</v>
      </c>
      <c r="N16" s="116">
        <f t="shared" si="5"/>
        <v>182646</v>
      </c>
      <c r="O16" s="117">
        <f t="shared" si="5"/>
        <v>255366</v>
      </c>
      <c r="P16" s="118">
        <f t="shared" si="5"/>
        <v>339750</v>
      </c>
      <c r="Q16" s="119">
        <f t="shared" si="5"/>
        <v>435798</v>
      </c>
      <c r="R16" s="119">
        <f t="shared" si="5"/>
        <v>543510</v>
      </c>
      <c r="S16" s="119">
        <f t="shared" si="5"/>
        <v>662886</v>
      </c>
    </row>
    <row r="17" spans="1:19" ht="19.5" customHeight="1">
      <c r="A17" s="121" t="s">
        <v>55</v>
      </c>
      <c r="B17" s="105"/>
      <c r="C17" s="106"/>
      <c r="D17" s="113"/>
      <c r="E17" s="114"/>
      <c r="F17" s="114"/>
      <c r="G17" s="122"/>
      <c r="H17" s="123"/>
      <c r="I17" s="124"/>
      <c r="J17" s="124"/>
      <c r="K17" s="125"/>
      <c r="L17" s="113"/>
      <c r="M17" s="114"/>
      <c r="N17" s="114"/>
      <c r="O17" s="122"/>
      <c r="P17" s="123"/>
      <c r="Q17" s="124"/>
      <c r="R17" s="124"/>
      <c r="S17" s="124"/>
    </row>
    <row r="18" spans="1:19" ht="19.5" customHeight="1">
      <c r="A18" s="126" t="s">
        <v>56</v>
      </c>
      <c r="B18" s="105"/>
      <c r="C18" s="106"/>
      <c r="D18" s="113"/>
      <c r="E18" s="114"/>
      <c r="F18" s="114"/>
      <c r="G18" s="122"/>
      <c r="H18" s="123"/>
      <c r="I18" s="124"/>
      <c r="J18" s="124"/>
      <c r="K18" s="125"/>
      <c r="L18" s="113"/>
      <c r="M18" s="114"/>
      <c r="N18" s="114"/>
      <c r="O18" s="122"/>
      <c r="P18" s="123"/>
      <c r="Q18" s="124"/>
      <c r="R18" s="124"/>
      <c r="S18" s="124"/>
    </row>
    <row r="19" spans="1:19" ht="19.5" customHeight="1">
      <c r="A19" s="127"/>
      <c r="B19" s="105"/>
      <c r="C19" s="106"/>
      <c r="D19" s="113"/>
      <c r="E19" s="114"/>
      <c r="F19" s="114"/>
      <c r="G19" s="122"/>
      <c r="H19" s="123"/>
      <c r="I19" s="124"/>
      <c r="J19" s="124"/>
      <c r="K19" s="125"/>
      <c r="L19" s="113"/>
      <c r="M19" s="114"/>
      <c r="N19" s="114"/>
      <c r="O19" s="122"/>
      <c r="P19" s="123"/>
      <c r="Q19" s="124"/>
      <c r="R19" s="124"/>
      <c r="S19" s="124"/>
    </row>
    <row r="20" spans="1:19" ht="19.5" customHeight="1">
      <c r="A20" s="128" t="s">
        <v>57</v>
      </c>
      <c r="B20" s="129"/>
      <c r="C20" s="106"/>
      <c r="D20" s="130"/>
      <c r="E20" s="131"/>
      <c r="F20" s="131"/>
      <c r="G20" s="132"/>
      <c r="H20" s="130"/>
      <c r="I20" s="131"/>
      <c r="J20" s="131"/>
      <c r="K20" s="132"/>
      <c r="L20" s="130"/>
      <c r="M20" s="131"/>
      <c r="N20" s="131"/>
      <c r="O20" s="132"/>
      <c r="P20" s="130"/>
      <c r="Q20" s="131"/>
      <c r="R20" s="131"/>
      <c r="S20" s="131"/>
    </row>
    <row r="21" spans="1:19" ht="19.5" customHeight="1">
      <c r="A21" s="104" t="s">
        <v>58</v>
      </c>
      <c r="B21" s="105"/>
      <c r="C21" s="106"/>
      <c r="D21" s="107">
        <v>5000</v>
      </c>
      <c r="E21" s="108">
        <v>5000</v>
      </c>
      <c r="F21" s="108">
        <v>5000</v>
      </c>
      <c r="G21" s="109">
        <v>5000</v>
      </c>
      <c r="H21" s="110">
        <v>5000</v>
      </c>
      <c r="I21" s="111">
        <v>5000</v>
      </c>
      <c r="J21" s="111">
        <v>5000</v>
      </c>
      <c r="K21" s="112">
        <v>5000</v>
      </c>
      <c r="L21" s="107">
        <v>5000</v>
      </c>
      <c r="M21" s="108">
        <v>5000</v>
      </c>
      <c r="N21" s="108">
        <v>5000</v>
      </c>
      <c r="O21" s="109">
        <v>5000</v>
      </c>
      <c r="P21" s="110">
        <v>5000</v>
      </c>
      <c r="Q21" s="111">
        <v>5000</v>
      </c>
      <c r="R21" s="111">
        <v>5000</v>
      </c>
      <c r="S21" s="111">
        <v>5000</v>
      </c>
    </row>
    <row r="22" spans="1:19" ht="19.5" customHeight="1">
      <c r="A22" s="381" t="s">
        <v>59</v>
      </c>
      <c r="B22" s="133" t="s">
        <v>60</v>
      </c>
      <c r="C22" s="134">
        <v>0.5</v>
      </c>
      <c r="D22" s="115">
        <f t="shared" ref="D22:S22" si="6">D21*D15*$C$22</f>
        <v>0</v>
      </c>
      <c r="E22" s="116">
        <f t="shared" si="6"/>
        <v>135000</v>
      </c>
      <c r="F22" s="116">
        <f t="shared" si="6"/>
        <v>270000</v>
      </c>
      <c r="G22" s="117">
        <f t="shared" si="6"/>
        <v>1440000</v>
      </c>
      <c r="H22" s="118">
        <f t="shared" si="6"/>
        <v>4590000</v>
      </c>
      <c r="I22" s="119">
        <f t="shared" si="6"/>
        <v>13140000</v>
      </c>
      <c r="J22" s="119">
        <f t="shared" si="6"/>
        <v>27900000</v>
      </c>
      <c r="K22" s="120">
        <f t="shared" si="6"/>
        <v>50490000</v>
      </c>
      <c r="L22" s="115">
        <f t="shared" si="6"/>
        <v>82530000</v>
      </c>
      <c r="M22" s="116">
        <f t="shared" si="6"/>
        <v>123480000</v>
      </c>
      <c r="N22" s="116">
        <f t="shared" si="6"/>
        <v>152640000</v>
      </c>
      <c r="O22" s="117">
        <f t="shared" si="6"/>
        <v>181800000</v>
      </c>
      <c r="P22" s="118">
        <f t="shared" si="6"/>
        <v>210960000</v>
      </c>
      <c r="Q22" s="119">
        <f t="shared" si="6"/>
        <v>240120000</v>
      </c>
      <c r="R22" s="119">
        <f t="shared" si="6"/>
        <v>269280000</v>
      </c>
      <c r="S22" s="119">
        <f t="shared" si="6"/>
        <v>298440000</v>
      </c>
    </row>
    <row r="23" spans="1:19" ht="19.5" customHeight="1">
      <c r="A23" s="382"/>
      <c r="B23" s="133" t="s">
        <v>61</v>
      </c>
      <c r="C23" s="134">
        <f>100%-C22</f>
        <v>0.5</v>
      </c>
      <c r="D23" s="115">
        <f t="shared" ref="D23:S23" si="7">D21*D15*$C$23</f>
        <v>0</v>
      </c>
      <c r="E23" s="116">
        <f t="shared" si="7"/>
        <v>135000</v>
      </c>
      <c r="F23" s="116">
        <f t="shared" si="7"/>
        <v>270000</v>
      </c>
      <c r="G23" s="117">
        <f t="shared" si="7"/>
        <v>1440000</v>
      </c>
      <c r="H23" s="118">
        <f t="shared" si="7"/>
        <v>4590000</v>
      </c>
      <c r="I23" s="119">
        <f t="shared" si="7"/>
        <v>13140000</v>
      </c>
      <c r="J23" s="119">
        <f t="shared" si="7"/>
        <v>27900000</v>
      </c>
      <c r="K23" s="120">
        <f t="shared" si="7"/>
        <v>50490000</v>
      </c>
      <c r="L23" s="115">
        <f t="shared" si="7"/>
        <v>82530000</v>
      </c>
      <c r="M23" s="116">
        <f t="shared" si="7"/>
        <v>123480000</v>
      </c>
      <c r="N23" s="116">
        <f t="shared" si="7"/>
        <v>152640000</v>
      </c>
      <c r="O23" s="117">
        <f t="shared" si="7"/>
        <v>181800000</v>
      </c>
      <c r="P23" s="118">
        <f t="shared" si="7"/>
        <v>210960000</v>
      </c>
      <c r="Q23" s="119">
        <f t="shared" si="7"/>
        <v>240120000</v>
      </c>
      <c r="R23" s="119">
        <f t="shared" si="7"/>
        <v>269280000</v>
      </c>
      <c r="S23" s="119">
        <f t="shared" si="7"/>
        <v>298440000</v>
      </c>
    </row>
    <row r="24" spans="1:19" ht="19.5" customHeight="1">
      <c r="A24" s="128" t="s">
        <v>62</v>
      </c>
      <c r="B24" s="129"/>
      <c r="C24" s="106"/>
      <c r="D24" s="135"/>
      <c r="E24" s="136"/>
      <c r="F24" s="136"/>
      <c r="G24" s="137"/>
      <c r="H24" s="135"/>
      <c r="I24" s="136"/>
      <c r="J24" s="136"/>
      <c r="K24" s="137"/>
      <c r="L24" s="135"/>
      <c r="M24" s="136"/>
      <c r="N24" s="136"/>
      <c r="O24" s="137"/>
      <c r="P24" s="135"/>
      <c r="Q24" s="136"/>
      <c r="R24" s="136"/>
      <c r="S24" s="136"/>
    </row>
    <row r="25" spans="1:19" ht="19.5" customHeight="1">
      <c r="A25" s="381" t="s">
        <v>63</v>
      </c>
      <c r="B25" s="133" t="s">
        <v>64</v>
      </c>
      <c r="C25" s="106"/>
      <c r="D25" s="115"/>
      <c r="E25" s="116"/>
      <c r="F25" s="116"/>
      <c r="G25" s="117"/>
      <c r="H25" s="118"/>
      <c r="I25" s="119"/>
      <c r="J25" s="119"/>
      <c r="K25" s="120"/>
      <c r="L25" s="115"/>
      <c r="M25" s="116"/>
      <c r="N25" s="116"/>
      <c r="O25" s="117"/>
      <c r="P25" s="118"/>
      <c r="Q25" s="119"/>
      <c r="R25" s="119"/>
      <c r="S25" s="119"/>
    </row>
    <row r="26" spans="1:19" ht="19.5" customHeight="1">
      <c r="A26" s="403"/>
      <c r="B26" s="133" t="s">
        <v>65</v>
      </c>
      <c r="C26" s="106"/>
      <c r="D26" s="115"/>
      <c r="E26" s="116"/>
      <c r="F26" s="116"/>
      <c r="G26" s="117"/>
      <c r="H26" s="118"/>
      <c r="I26" s="119"/>
      <c r="J26" s="119"/>
      <c r="K26" s="120"/>
      <c r="L26" s="115"/>
      <c r="M26" s="116"/>
      <c r="N26" s="116"/>
      <c r="O26" s="117"/>
      <c r="P26" s="118"/>
      <c r="Q26" s="119"/>
      <c r="R26" s="119"/>
      <c r="S26" s="119"/>
    </row>
    <row r="27" spans="1:19" ht="19.5" customHeight="1">
      <c r="A27" s="403"/>
      <c r="B27" s="133" t="s">
        <v>66</v>
      </c>
      <c r="C27" s="106"/>
      <c r="D27" s="115"/>
      <c r="E27" s="116"/>
      <c r="F27" s="116"/>
      <c r="G27" s="117"/>
      <c r="H27" s="118"/>
      <c r="I27" s="119"/>
      <c r="J27" s="119"/>
      <c r="K27" s="120"/>
      <c r="L27" s="115"/>
      <c r="M27" s="116"/>
      <c r="N27" s="116"/>
      <c r="O27" s="117"/>
      <c r="P27" s="118"/>
      <c r="Q27" s="119"/>
      <c r="R27" s="119"/>
      <c r="S27" s="119"/>
    </row>
    <row r="28" spans="1:19" ht="19.5" customHeight="1">
      <c r="A28" s="403"/>
      <c r="B28" s="133" t="s">
        <v>67</v>
      </c>
      <c r="C28" s="106"/>
      <c r="D28" s="115"/>
      <c r="E28" s="116"/>
      <c r="F28" s="116"/>
      <c r="G28" s="117"/>
      <c r="H28" s="118"/>
      <c r="I28" s="119"/>
      <c r="J28" s="119"/>
      <c r="K28" s="120"/>
      <c r="L28" s="115"/>
      <c r="M28" s="116"/>
      <c r="N28" s="116"/>
      <c r="O28" s="117"/>
      <c r="P28" s="118"/>
      <c r="Q28" s="119"/>
      <c r="R28" s="119"/>
      <c r="S28" s="119"/>
    </row>
    <row r="29" spans="1:19" ht="19.5" customHeight="1">
      <c r="A29" s="403"/>
      <c r="B29" s="133" t="s">
        <v>68</v>
      </c>
      <c r="C29" s="106"/>
      <c r="D29" s="115"/>
      <c r="E29" s="116"/>
      <c r="F29" s="116"/>
      <c r="G29" s="117"/>
      <c r="H29" s="118"/>
      <c r="I29" s="119"/>
      <c r="J29" s="119"/>
      <c r="K29" s="120"/>
      <c r="L29" s="115"/>
      <c r="M29" s="116"/>
      <c r="N29" s="116"/>
      <c r="O29" s="117"/>
      <c r="P29" s="118"/>
      <c r="Q29" s="119"/>
      <c r="R29" s="119"/>
      <c r="S29" s="119"/>
    </row>
    <row r="30" spans="1:19" ht="19.5" customHeight="1">
      <c r="A30" s="403"/>
      <c r="B30" s="133" t="s">
        <v>69</v>
      </c>
      <c r="C30" s="106"/>
      <c r="D30" s="115"/>
      <c r="E30" s="116"/>
      <c r="F30" s="116"/>
      <c r="G30" s="117"/>
      <c r="H30" s="118"/>
      <c r="I30" s="119"/>
      <c r="J30" s="119"/>
      <c r="K30" s="120"/>
      <c r="L30" s="115"/>
      <c r="M30" s="116"/>
      <c r="N30" s="116"/>
      <c r="O30" s="117"/>
      <c r="P30" s="118"/>
      <c r="Q30" s="119"/>
      <c r="R30" s="119"/>
      <c r="S30" s="119"/>
    </row>
    <row r="31" spans="1:19" ht="19.5" customHeight="1">
      <c r="A31" s="403"/>
      <c r="B31" s="133" t="s">
        <v>70</v>
      </c>
      <c r="C31" s="106"/>
      <c r="D31" s="115"/>
      <c r="E31" s="116"/>
      <c r="F31" s="116"/>
      <c r="G31" s="117"/>
      <c r="H31" s="118"/>
      <c r="I31" s="119"/>
      <c r="J31" s="119"/>
      <c r="K31" s="120"/>
      <c r="L31" s="115"/>
      <c r="M31" s="116"/>
      <c r="N31" s="116"/>
      <c r="O31" s="117"/>
      <c r="P31" s="118"/>
      <c r="Q31" s="119"/>
      <c r="R31" s="119"/>
      <c r="S31" s="119"/>
    </row>
    <row r="32" spans="1:19" ht="19.5" customHeight="1">
      <c r="A32" s="382"/>
      <c r="B32" s="133" t="s">
        <v>71</v>
      </c>
      <c r="C32" s="106"/>
      <c r="D32" s="115"/>
      <c r="E32" s="116"/>
      <c r="F32" s="116"/>
      <c r="G32" s="117"/>
      <c r="H32" s="118"/>
      <c r="I32" s="119"/>
      <c r="J32" s="119"/>
      <c r="K32" s="120"/>
      <c r="L32" s="115"/>
      <c r="M32" s="116"/>
      <c r="N32" s="116"/>
      <c r="O32" s="117"/>
      <c r="P32" s="118"/>
      <c r="Q32" s="119"/>
      <c r="R32" s="119"/>
      <c r="S32" s="119"/>
    </row>
    <row r="33" spans="1:19" ht="19.5" customHeight="1">
      <c r="A33" s="128" t="s">
        <v>72</v>
      </c>
      <c r="B33" s="129"/>
      <c r="C33" s="106"/>
      <c r="D33" s="135"/>
      <c r="E33" s="136"/>
      <c r="F33" s="136"/>
      <c r="G33" s="137"/>
      <c r="H33" s="135"/>
      <c r="I33" s="136"/>
      <c r="J33" s="136"/>
      <c r="K33" s="137"/>
      <c r="L33" s="135"/>
      <c r="M33" s="136"/>
      <c r="N33" s="136"/>
      <c r="O33" s="137"/>
      <c r="P33" s="135"/>
      <c r="Q33" s="136"/>
      <c r="R33" s="136"/>
      <c r="S33" s="136"/>
    </row>
    <row r="34" spans="1:19" ht="19.5" customHeight="1">
      <c r="A34" s="104" t="s">
        <v>73</v>
      </c>
      <c r="B34" s="105"/>
      <c r="C34" s="106"/>
      <c r="D34" s="115">
        <v>5</v>
      </c>
      <c r="E34" s="116">
        <v>5</v>
      </c>
      <c r="F34" s="116">
        <v>5</v>
      </c>
      <c r="G34" s="117">
        <v>5</v>
      </c>
      <c r="H34" s="118">
        <v>5</v>
      </c>
      <c r="I34" s="119">
        <v>5</v>
      </c>
      <c r="J34" s="119">
        <v>5</v>
      </c>
      <c r="K34" s="120">
        <v>5</v>
      </c>
      <c r="L34" s="115">
        <v>5</v>
      </c>
      <c r="M34" s="116">
        <v>5</v>
      </c>
      <c r="N34" s="116">
        <v>5</v>
      </c>
      <c r="O34" s="117">
        <v>5</v>
      </c>
      <c r="P34" s="118">
        <v>5</v>
      </c>
      <c r="Q34" s="119">
        <v>5</v>
      </c>
      <c r="R34" s="119">
        <v>5</v>
      </c>
      <c r="S34" s="119">
        <v>5</v>
      </c>
    </row>
    <row r="35" spans="1:19" ht="19.5" customHeight="1">
      <c r="A35" s="104" t="s">
        <v>74</v>
      </c>
      <c r="B35" s="105"/>
      <c r="C35" s="106"/>
      <c r="D35" s="115">
        <v>30</v>
      </c>
      <c r="E35" s="116">
        <v>30</v>
      </c>
      <c r="F35" s="116">
        <v>30</v>
      </c>
      <c r="G35" s="117">
        <v>30</v>
      </c>
      <c r="H35" s="118">
        <v>30</v>
      </c>
      <c r="I35" s="119">
        <v>30</v>
      </c>
      <c r="J35" s="119">
        <v>30</v>
      </c>
      <c r="K35" s="120">
        <v>30</v>
      </c>
      <c r="L35" s="115">
        <v>30</v>
      </c>
      <c r="M35" s="116">
        <v>30</v>
      </c>
      <c r="N35" s="116">
        <v>30</v>
      </c>
      <c r="O35" s="117">
        <v>30</v>
      </c>
      <c r="P35" s="118">
        <v>30</v>
      </c>
      <c r="Q35" s="119">
        <v>30</v>
      </c>
      <c r="R35" s="119">
        <v>30</v>
      </c>
      <c r="S35" s="119">
        <v>30</v>
      </c>
    </row>
    <row r="36" spans="1:19" ht="19.5" customHeight="1">
      <c r="A36" s="104" t="s">
        <v>75</v>
      </c>
      <c r="B36" s="105"/>
      <c r="C36" s="106"/>
      <c r="D36" s="115">
        <f t="shared" ref="D36:S36" si="8">ROUNDUP(D34+D16/30,0)</f>
        <v>5</v>
      </c>
      <c r="E36" s="116">
        <f t="shared" si="8"/>
        <v>7</v>
      </c>
      <c r="F36" s="116">
        <f t="shared" si="8"/>
        <v>11</v>
      </c>
      <c r="G36" s="117">
        <f t="shared" si="8"/>
        <v>30</v>
      </c>
      <c r="H36" s="118">
        <f t="shared" si="8"/>
        <v>91</v>
      </c>
      <c r="I36" s="119">
        <f t="shared" si="8"/>
        <v>266</v>
      </c>
      <c r="J36" s="119">
        <f t="shared" si="8"/>
        <v>638</v>
      </c>
      <c r="K36" s="120">
        <f t="shared" si="8"/>
        <v>1312</v>
      </c>
      <c r="L36" s="115">
        <f t="shared" si="8"/>
        <v>2412</v>
      </c>
      <c r="M36" s="116">
        <f t="shared" si="8"/>
        <v>4058</v>
      </c>
      <c r="N36" s="116">
        <f t="shared" si="8"/>
        <v>6094</v>
      </c>
      <c r="O36" s="117">
        <f t="shared" si="8"/>
        <v>8518</v>
      </c>
      <c r="P36" s="118">
        <f t="shared" si="8"/>
        <v>11330</v>
      </c>
      <c r="Q36" s="119">
        <f t="shared" si="8"/>
        <v>14532</v>
      </c>
      <c r="R36" s="119">
        <f t="shared" si="8"/>
        <v>18122</v>
      </c>
      <c r="S36" s="119">
        <f t="shared" si="8"/>
        <v>22102</v>
      </c>
    </row>
    <row r="37" spans="1:19" ht="19.5" customHeight="1">
      <c r="A37" s="381" t="s">
        <v>72</v>
      </c>
      <c r="B37" s="133" t="s">
        <v>60</v>
      </c>
      <c r="C37" s="134">
        <v>0.9</v>
      </c>
      <c r="D37" s="115">
        <f t="shared" ref="D37:S37" si="9">D16*D35*D34*90*$C$37</f>
        <v>0</v>
      </c>
      <c r="E37" s="116">
        <f t="shared" si="9"/>
        <v>656100</v>
      </c>
      <c r="F37" s="116">
        <f t="shared" si="9"/>
        <v>1968300</v>
      </c>
      <c r="G37" s="117">
        <f t="shared" si="9"/>
        <v>8966700</v>
      </c>
      <c r="H37" s="118">
        <f t="shared" si="9"/>
        <v>31274100</v>
      </c>
      <c r="I37" s="119">
        <f t="shared" si="9"/>
        <v>95134500</v>
      </c>
      <c r="J37" s="119">
        <f t="shared" si="9"/>
        <v>230728500</v>
      </c>
      <c r="K37" s="120">
        <f t="shared" si="9"/>
        <v>476109900</v>
      </c>
      <c r="L37" s="115">
        <f t="shared" si="9"/>
        <v>877205700</v>
      </c>
      <c r="M37" s="116">
        <f t="shared" si="9"/>
        <v>1477318500</v>
      </c>
      <c r="N37" s="116">
        <f t="shared" si="9"/>
        <v>2219148900</v>
      </c>
      <c r="O37" s="117">
        <f t="shared" si="9"/>
        <v>3102696900</v>
      </c>
      <c r="P37" s="118">
        <f t="shared" si="9"/>
        <v>4127962500</v>
      </c>
      <c r="Q37" s="119">
        <f t="shared" si="9"/>
        <v>5294945700</v>
      </c>
      <c r="R37" s="119">
        <f t="shared" si="9"/>
        <v>6603646500</v>
      </c>
      <c r="S37" s="119">
        <f t="shared" si="9"/>
        <v>8054064900</v>
      </c>
    </row>
    <row r="38" spans="1:19" ht="19.5" customHeight="1">
      <c r="A38" s="382"/>
      <c r="B38" s="133" t="s">
        <v>61</v>
      </c>
      <c r="C38" s="134">
        <f>100%-C37</f>
        <v>9.9999999999999978E-2</v>
      </c>
      <c r="D38" s="115">
        <f t="shared" ref="D38:S38" si="10">D35*D34*D16*90*$C$38</f>
        <v>0</v>
      </c>
      <c r="E38" s="116">
        <f t="shared" si="10"/>
        <v>72899.999999999985</v>
      </c>
      <c r="F38" s="116">
        <f t="shared" si="10"/>
        <v>218699.99999999994</v>
      </c>
      <c r="G38" s="117">
        <f t="shared" si="10"/>
        <v>996299.99999999977</v>
      </c>
      <c r="H38" s="118">
        <f t="shared" si="10"/>
        <v>3474899.9999999991</v>
      </c>
      <c r="I38" s="119">
        <f t="shared" si="10"/>
        <v>10570499.999999998</v>
      </c>
      <c r="J38" s="119">
        <f t="shared" si="10"/>
        <v>25636499.999999993</v>
      </c>
      <c r="K38" s="120">
        <f t="shared" si="10"/>
        <v>52901099.999999985</v>
      </c>
      <c r="L38" s="115">
        <f t="shared" si="10"/>
        <v>97467299.999999985</v>
      </c>
      <c r="M38" s="116">
        <f t="shared" si="10"/>
        <v>164146499.99999997</v>
      </c>
      <c r="N38" s="116">
        <f t="shared" si="10"/>
        <v>246572099.99999994</v>
      </c>
      <c r="O38" s="117">
        <f t="shared" si="10"/>
        <v>344744099.99999994</v>
      </c>
      <c r="P38" s="118">
        <f t="shared" si="10"/>
        <v>458662499.99999988</v>
      </c>
      <c r="Q38" s="119">
        <f t="shared" si="10"/>
        <v>588327299.99999988</v>
      </c>
      <c r="R38" s="119">
        <f t="shared" si="10"/>
        <v>733738499.99999988</v>
      </c>
      <c r="S38" s="119">
        <f t="shared" si="10"/>
        <v>894896099.99999976</v>
      </c>
    </row>
    <row r="39" spans="1:19" ht="19.5" customHeight="1">
      <c r="A39" s="128" t="s">
        <v>76</v>
      </c>
      <c r="B39" s="129"/>
      <c r="C39" s="106"/>
      <c r="D39" s="135"/>
      <c r="E39" s="136"/>
      <c r="F39" s="136"/>
      <c r="G39" s="137"/>
      <c r="H39" s="135"/>
      <c r="I39" s="136"/>
      <c r="J39" s="136"/>
      <c r="K39" s="137"/>
      <c r="L39" s="135"/>
      <c r="M39" s="136"/>
      <c r="N39" s="136"/>
      <c r="O39" s="137"/>
      <c r="P39" s="135"/>
      <c r="Q39" s="136"/>
      <c r="R39" s="136"/>
      <c r="S39" s="136"/>
    </row>
    <row r="40" spans="1:19" ht="19.5" customHeight="1">
      <c r="A40" s="104" t="s">
        <v>77</v>
      </c>
      <c r="B40" s="105"/>
      <c r="C40" s="106"/>
      <c r="D40" s="115">
        <v>500</v>
      </c>
      <c r="E40" s="116">
        <v>500</v>
      </c>
      <c r="F40" s="116">
        <v>500</v>
      </c>
      <c r="G40" s="117">
        <v>500</v>
      </c>
      <c r="H40" s="118">
        <v>500</v>
      </c>
      <c r="I40" s="119">
        <v>500</v>
      </c>
      <c r="J40" s="119">
        <v>500</v>
      </c>
      <c r="K40" s="120">
        <v>500</v>
      </c>
      <c r="L40" s="115">
        <v>500</v>
      </c>
      <c r="M40" s="116">
        <v>500</v>
      </c>
      <c r="N40" s="116">
        <v>500</v>
      </c>
      <c r="O40" s="117">
        <v>500</v>
      </c>
      <c r="P40" s="118">
        <v>500</v>
      </c>
      <c r="Q40" s="119">
        <v>500</v>
      </c>
      <c r="R40" s="119">
        <v>500</v>
      </c>
      <c r="S40" s="119">
        <v>500</v>
      </c>
    </row>
    <row r="41" spans="1:19" ht="19.5" customHeight="1">
      <c r="A41" s="104" t="s">
        <v>78</v>
      </c>
      <c r="B41" s="105"/>
      <c r="C41" s="106"/>
      <c r="D41" s="115">
        <f t="shared" ref="D41:S41" si="11">D40*D34*D16*90</f>
        <v>0</v>
      </c>
      <c r="E41" s="116">
        <f t="shared" si="11"/>
        <v>12150000</v>
      </c>
      <c r="F41" s="116">
        <f t="shared" si="11"/>
        <v>36450000</v>
      </c>
      <c r="G41" s="117">
        <f t="shared" si="11"/>
        <v>166050000</v>
      </c>
      <c r="H41" s="118">
        <f t="shared" si="11"/>
        <v>579150000</v>
      </c>
      <c r="I41" s="119">
        <f t="shared" si="11"/>
        <v>1761750000</v>
      </c>
      <c r="J41" s="119">
        <f t="shared" si="11"/>
        <v>4272750000</v>
      </c>
      <c r="K41" s="120">
        <f t="shared" si="11"/>
        <v>8816850000</v>
      </c>
      <c r="L41" s="115">
        <f t="shared" si="11"/>
        <v>16244550000</v>
      </c>
      <c r="M41" s="116">
        <f t="shared" si="11"/>
        <v>27357750000</v>
      </c>
      <c r="N41" s="116">
        <f t="shared" si="11"/>
        <v>41095350000</v>
      </c>
      <c r="O41" s="117">
        <f t="shared" si="11"/>
        <v>57457350000</v>
      </c>
      <c r="P41" s="118">
        <f t="shared" si="11"/>
        <v>76443750000</v>
      </c>
      <c r="Q41" s="119">
        <f t="shared" si="11"/>
        <v>98054550000</v>
      </c>
      <c r="R41" s="119">
        <f t="shared" si="11"/>
        <v>122289750000</v>
      </c>
      <c r="S41" s="119">
        <f t="shared" si="11"/>
        <v>149149350000</v>
      </c>
    </row>
    <row r="42" spans="1:19" ht="19.5" customHeight="1">
      <c r="A42" s="381" t="s">
        <v>76</v>
      </c>
      <c r="B42" s="133" t="s">
        <v>60</v>
      </c>
      <c r="C42" s="134">
        <v>5.0000000000000001E-3</v>
      </c>
      <c r="D42" s="115">
        <f t="shared" ref="D42:S42" si="12">D41*$C$42</f>
        <v>0</v>
      </c>
      <c r="E42" s="116">
        <f t="shared" si="12"/>
        <v>60750</v>
      </c>
      <c r="F42" s="116">
        <f t="shared" si="12"/>
        <v>182250</v>
      </c>
      <c r="G42" s="117">
        <f t="shared" si="12"/>
        <v>830250</v>
      </c>
      <c r="H42" s="118">
        <f t="shared" si="12"/>
        <v>2895750</v>
      </c>
      <c r="I42" s="119">
        <f t="shared" si="12"/>
        <v>8808750</v>
      </c>
      <c r="J42" s="119">
        <f t="shared" si="12"/>
        <v>21363750</v>
      </c>
      <c r="K42" s="120">
        <f t="shared" si="12"/>
        <v>44084250</v>
      </c>
      <c r="L42" s="115">
        <f t="shared" si="12"/>
        <v>81222750</v>
      </c>
      <c r="M42" s="116">
        <f t="shared" si="12"/>
        <v>136788750</v>
      </c>
      <c r="N42" s="116">
        <f t="shared" si="12"/>
        <v>205476750</v>
      </c>
      <c r="O42" s="117">
        <f t="shared" si="12"/>
        <v>287286750</v>
      </c>
      <c r="P42" s="118">
        <f t="shared" si="12"/>
        <v>382218750</v>
      </c>
      <c r="Q42" s="119">
        <f t="shared" si="12"/>
        <v>490272750</v>
      </c>
      <c r="R42" s="119">
        <f t="shared" si="12"/>
        <v>611448750</v>
      </c>
      <c r="S42" s="119">
        <f t="shared" si="12"/>
        <v>745746750</v>
      </c>
    </row>
    <row r="43" spans="1:19" ht="19.5" customHeight="1">
      <c r="A43" s="382"/>
      <c r="B43" s="133" t="s">
        <v>61</v>
      </c>
      <c r="C43" s="134">
        <v>5.0000000000000001E-3</v>
      </c>
      <c r="D43" s="115">
        <f t="shared" ref="D43:S43" si="13">D41*$C$43</f>
        <v>0</v>
      </c>
      <c r="E43" s="116">
        <f t="shared" si="13"/>
        <v>60750</v>
      </c>
      <c r="F43" s="116">
        <f t="shared" si="13"/>
        <v>182250</v>
      </c>
      <c r="G43" s="117">
        <f t="shared" si="13"/>
        <v>830250</v>
      </c>
      <c r="H43" s="118">
        <f t="shared" si="13"/>
        <v>2895750</v>
      </c>
      <c r="I43" s="119">
        <f t="shared" si="13"/>
        <v>8808750</v>
      </c>
      <c r="J43" s="119">
        <f t="shared" si="13"/>
        <v>21363750</v>
      </c>
      <c r="K43" s="120">
        <f t="shared" si="13"/>
        <v>44084250</v>
      </c>
      <c r="L43" s="115">
        <f t="shared" si="13"/>
        <v>81222750</v>
      </c>
      <c r="M43" s="116">
        <f t="shared" si="13"/>
        <v>136788750</v>
      </c>
      <c r="N43" s="116">
        <f t="shared" si="13"/>
        <v>205476750</v>
      </c>
      <c r="O43" s="117">
        <f t="shared" si="13"/>
        <v>287286750</v>
      </c>
      <c r="P43" s="118">
        <f t="shared" si="13"/>
        <v>382218750</v>
      </c>
      <c r="Q43" s="119">
        <f t="shared" si="13"/>
        <v>490272750</v>
      </c>
      <c r="R43" s="119">
        <f t="shared" si="13"/>
        <v>611448750</v>
      </c>
      <c r="S43" s="119">
        <f t="shared" si="13"/>
        <v>745746750</v>
      </c>
    </row>
    <row r="44" spans="1:19" ht="19.5" customHeight="1">
      <c r="A44" s="128" t="s">
        <v>79</v>
      </c>
      <c r="B44" s="129"/>
      <c r="C44" s="106"/>
      <c r="D44" s="135"/>
      <c r="E44" s="136"/>
      <c r="F44" s="136"/>
      <c r="G44" s="137"/>
      <c r="H44" s="135"/>
      <c r="I44" s="136"/>
      <c r="J44" s="136"/>
      <c r="K44" s="137"/>
      <c r="L44" s="135"/>
      <c r="M44" s="136"/>
      <c r="N44" s="136"/>
      <c r="O44" s="137"/>
      <c r="P44" s="135"/>
      <c r="Q44" s="136"/>
      <c r="R44" s="136"/>
      <c r="S44" s="136"/>
    </row>
    <row r="45" spans="1:19" ht="19.5" customHeight="1">
      <c r="A45" s="104" t="s">
        <v>80</v>
      </c>
      <c r="B45" s="105"/>
      <c r="C45" s="106"/>
      <c r="D45" s="115">
        <f t="shared" ref="D45:S45" si="14">D42+D37+D32+D22</f>
        <v>0</v>
      </c>
      <c r="E45" s="116">
        <f t="shared" si="14"/>
        <v>851850</v>
      </c>
      <c r="F45" s="116">
        <f t="shared" si="14"/>
        <v>2420550</v>
      </c>
      <c r="G45" s="117">
        <f t="shared" si="14"/>
        <v>11236950</v>
      </c>
      <c r="H45" s="118">
        <f t="shared" si="14"/>
        <v>38759850</v>
      </c>
      <c r="I45" s="119">
        <f t="shared" si="14"/>
        <v>117083250</v>
      </c>
      <c r="J45" s="119">
        <f t="shared" si="14"/>
        <v>279992250</v>
      </c>
      <c r="K45" s="120">
        <f t="shared" si="14"/>
        <v>570684150</v>
      </c>
      <c r="L45" s="115">
        <f t="shared" si="14"/>
        <v>1040958450</v>
      </c>
      <c r="M45" s="116">
        <f t="shared" si="14"/>
        <v>1737587250</v>
      </c>
      <c r="N45" s="116">
        <f t="shared" si="14"/>
        <v>2577265650</v>
      </c>
      <c r="O45" s="117">
        <f t="shared" si="14"/>
        <v>3571783650</v>
      </c>
      <c r="P45" s="118">
        <f t="shared" si="14"/>
        <v>4721141250</v>
      </c>
      <c r="Q45" s="119">
        <f t="shared" si="14"/>
        <v>6025338450</v>
      </c>
      <c r="R45" s="119">
        <f t="shared" si="14"/>
        <v>7484375250</v>
      </c>
      <c r="S45" s="119">
        <f t="shared" si="14"/>
        <v>9098251650</v>
      </c>
    </row>
    <row r="46" spans="1:19" ht="19.5" customHeight="1">
      <c r="A46" s="104" t="s">
        <v>81</v>
      </c>
      <c r="B46" s="105"/>
      <c r="C46" s="106"/>
      <c r="D46" s="115">
        <f t="shared" ref="D46:S46" si="15">D45/D13</f>
        <v>0</v>
      </c>
      <c r="E46" s="116">
        <f t="shared" si="15"/>
        <v>23662.5</v>
      </c>
      <c r="F46" s="116">
        <f t="shared" si="15"/>
        <v>25214.0625</v>
      </c>
      <c r="G46" s="117">
        <f t="shared" si="15"/>
        <v>55083.088235294119</v>
      </c>
      <c r="H46" s="118">
        <f t="shared" si="15"/>
        <v>88492.808219178085</v>
      </c>
      <c r="I46" s="119">
        <f t="shared" si="15"/>
        <v>157369.95967741936</v>
      </c>
      <c r="J46" s="119">
        <f t="shared" si="15"/>
        <v>249547.45989304813</v>
      </c>
      <c r="K46" s="120">
        <f t="shared" si="15"/>
        <v>363030.62977099238</v>
      </c>
      <c r="L46" s="115">
        <f t="shared" si="15"/>
        <v>505810.71428571426</v>
      </c>
      <c r="M46" s="116">
        <f t="shared" si="15"/>
        <v>683013.85613207542</v>
      </c>
      <c r="N46" s="116">
        <f t="shared" si="15"/>
        <v>850582.72277227719</v>
      </c>
      <c r="O46" s="117">
        <f t="shared" si="15"/>
        <v>1015865.6569965871</v>
      </c>
      <c r="P46" s="118">
        <f t="shared" si="15"/>
        <v>1179695.4647676162</v>
      </c>
      <c r="Q46" s="119">
        <f t="shared" si="15"/>
        <v>1342544.2179144386</v>
      </c>
      <c r="R46" s="119">
        <f t="shared" si="15"/>
        <v>1504699.4873341375</v>
      </c>
      <c r="S46" s="119">
        <f t="shared" si="15"/>
        <v>1666346.4560439561</v>
      </c>
    </row>
    <row r="47" spans="1:19" ht="19.5" customHeight="1">
      <c r="A47" s="104" t="s">
        <v>82</v>
      </c>
      <c r="B47" s="105"/>
      <c r="C47" s="106"/>
      <c r="D47" s="115">
        <f t="shared" ref="D47:S47" si="16">D43+D38+D23</f>
        <v>0</v>
      </c>
      <c r="E47" s="116">
        <f t="shared" si="16"/>
        <v>268650</v>
      </c>
      <c r="F47" s="116">
        <f t="shared" si="16"/>
        <v>670950</v>
      </c>
      <c r="G47" s="117">
        <f t="shared" si="16"/>
        <v>3266550</v>
      </c>
      <c r="H47" s="118">
        <f t="shared" si="16"/>
        <v>10960650</v>
      </c>
      <c r="I47" s="119">
        <f t="shared" si="16"/>
        <v>32519250</v>
      </c>
      <c r="J47" s="119">
        <f t="shared" si="16"/>
        <v>74900250</v>
      </c>
      <c r="K47" s="120">
        <f t="shared" si="16"/>
        <v>147475350</v>
      </c>
      <c r="L47" s="115">
        <f t="shared" si="16"/>
        <v>261220050</v>
      </c>
      <c r="M47" s="116">
        <f t="shared" si="16"/>
        <v>424415250</v>
      </c>
      <c r="N47" s="116">
        <f t="shared" si="16"/>
        <v>604688850</v>
      </c>
      <c r="O47" s="117">
        <f t="shared" si="16"/>
        <v>813830850</v>
      </c>
      <c r="P47" s="118">
        <f t="shared" si="16"/>
        <v>1051841249.9999999</v>
      </c>
      <c r="Q47" s="119">
        <f t="shared" si="16"/>
        <v>1318720050</v>
      </c>
      <c r="R47" s="119">
        <f t="shared" si="16"/>
        <v>1614467250</v>
      </c>
      <c r="S47" s="119">
        <f t="shared" si="16"/>
        <v>1939082849.9999998</v>
      </c>
    </row>
    <row r="48" spans="1:19" ht="19.5" customHeight="1">
      <c r="A48" s="104" t="s">
        <v>83</v>
      </c>
      <c r="B48" s="105"/>
      <c r="C48" s="106"/>
      <c r="D48" s="115">
        <f t="shared" ref="D48:S48" si="17">D45/10000000</f>
        <v>0</v>
      </c>
      <c r="E48" s="116">
        <f t="shared" si="17"/>
        <v>8.5184999999999997E-2</v>
      </c>
      <c r="F48" s="116">
        <f t="shared" si="17"/>
        <v>0.24205499999999999</v>
      </c>
      <c r="G48" s="117">
        <f t="shared" si="17"/>
        <v>1.1236950000000001</v>
      </c>
      <c r="H48" s="118">
        <f t="shared" si="17"/>
        <v>3.875985</v>
      </c>
      <c r="I48" s="119">
        <f t="shared" si="17"/>
        <v>11.708325</v>
      </c>
      <c r="J48" s="119">
        <f t="shared" si="17"/>
        <v>27.999224999999999</v>
      </c>
      <c r="K48" s="120">
        <f t="shared" si="17"/>
        <v>57.068415000000002</v>
      </c>
      <c r="L48" s="115">
        <f t="shared" si="17"/>
        <v>104.095845</v>
      </c>
      <c r="M48" s="116">
        <f t="shared" si="17"/>
        <v>173.758725</v>
      </c>
      <c r="N48" s="116">
        <f t="shared" si="17"/>
        <v>257.72656499999999</v>
      </c>
      <c r="O48" s="117">
        <f t="shared" si="17"/>
        <v>357.17836499999999</v>
      </c>
      <c r="P48" s="118">
        <f t="shared" si="17"/>
        <v>472.114125</v>
      </c>
      <c r="Q48" s="119">
        <f t="shared" si="17"/>
        <v>602.53384500000004</v>
      </c>
      <c r="R48" s="119">
        <f t="shared" si="17"/>
        <v>748.43752500000005</v>
      </c>
      <c r="S48" s="119">
        <f t="shared" si="17"/>
        <v>909.82516499999997</v>
      </c>
    </row>
    <row r="49" spans="1:19" ht="19.5" customHeight="1">
      <c r="A49" s="104" t="s">
        <v>84</v>
      </c>
      <c r="B49" s="105"/>
      <c r="C49" s="106"/>
      <c r="D49" s="138">
        <f t="shared" ref="D49:S49" si="18">D47/10000000</f>
        <v>0</v>
      </c>
      <c r="E49" s="139">
        <f t="shared" si="18"/>
        <v>2.6865E-2</v>
      </c>
      <c r="F49" s="139">
        <f t="shared" si="18"/>
        <v>6.7095000000000002E-2</v>
      </c>
      <c r="G49" s="140">
        <f t="shared" si="18"/>
        <v>0.32665499999999997</v>
      </c>
      <c r="H49" s="141">
        <f t="shared" si="18"/>
        <v>1.0960650000000001</v>
      </c>
      <c r="I49" s="142">
        <f t="shared" si="18"/>
        <v>3.251925</v>
      </c>
      <c r="J49" s="142">
        <f t="shared" si="18"/>
        <v>7.4900250000000002</v>
      </c>
      <c r="K49" s="143">
        <f t="shared" si="18"/>
        <v>14.747534999999999</v>
      </c>
      <c r="L49" s="138">
        <f t="shared" si="18"/>
        <v>26.122005000000001</v>
      </c>
      <c r="M49" s="139">
        <f t="shared" si="18"/>
        <v>42.441524999999999</v>
      </c>
      <c r="N49" s="139">
        <f t="shared" si="18"/>
        <v>60.468885</v>
      </c>
      <c r="O49" s="140">
        <f t="shared" si="18"/>
        <v>81.383084999999994</v>
      </c>
      <c r="P49" s="141">
        <f t="shared" si="18"/>
        <v>105.18412499999999</v>
      </c>
      <c r="Q49" s="142">
        <f t="shared" si="18"/>
        <v>131.872005</v>
      </c>
      <c r="R49" s="142">
        <f t="shared" si="18"/>
        <v>161.44672499999999</v>
      </c>
      <c r="S49" s="142">
        <f t="shared" si="18"/>
        <v>193.90828499999998</v>
      </c>
    </row>
    <row r="50" spans="1:19" ht="19.5" customHeight="1">
      <c r="A50" s="104" t="s">
        <v>85</v>
      </c>
      <c r="B50" s="144"/>
      <c r="C50" s="145"/>
      <c r="D50" s="138">
        <f t="shared" ref="D50:S50" si="19">D48+D49</f>
        <v>0</v>
      </c>
      <c r="E50" s="139">
        <f t="shared" si="19"/>
        <v>0.11205</v>
      </c>
      <c r="F50" s="139">
        <f t="shared" si="19"/>
        <v>0.30914999999999998</v>
      </c>
      <c r="G50" s="140">
        <f t="shared" si="19"/>
        <v>1.45035</v>
      </c>
      <c r="H50" s="141">
        <f t="shared" si="19"/>
        <v>4.9720500000000003</v>
      </c>
      <c r="I50" s="142">
        <f t="shared" si="19"/>
        <v>14.96025</v>
      </c>
      <c r="J50" s="142">
        <f t="shared" si="19"/>
        <v>35.489249999999998</v>
      </c>
      <c r="K50" s="143">
        <f t="shared" si="19"/>
        <v>71.815950000000001</v>
      </c>
      <c r="L50" s="138">
        <f t="shared" si="19"/>
        <v>130.21785</v>
      </c>
      <c r="M50" s="139">
        <f t="shared" si="19"/>
        <v>216.20024999999998</v>
      </c>
      <c r="N50" s="139">
        <f t="shared" si="19"/>
        <v>318.19544999999999</v>
      </c>
      <c r="O50" s="140">
        <f t="shared" si="19"/>
        <v>438.56144999999998</v>
      </c>
      <c r="P50" s="141">
        <f t="shared" si="19"/>
        <v>577.29825000000005</v>
      </c>
      <c r="Q50" s="142">
        <f t="shared" si="19"/>
        <v>734.4058500000001</v>
      </c>
      <c r="R50" s="142">
        <f t="shared" si="19"/>
        <v>909.88425000000007</v>
      </c>
      <c r="S50" s="142">
        <f t="shared" si="19"/>
        <v>1103.7334499999999</v>
      </c>
    </row>
    <row r="51" spans="1:19" ht="19.5" customHeight="1">
      <c r="A51" s="104" t="s">
        <v>86</v>
      </c>
      <c r="B51" s="146"/>
      <c r="C51" s="147"/>
      <c r="D51" s="148"/>
      <c r="E51" s="149"/>
      <c r="F51" s="149"/>
      <c r="G51" s="150">
        <f>SUM(D50:G50)</f>
        <v>1.87155</v>
      </c>
      <c r="H51" s="151"/>
      <c r="I51" s="152"/>
      <c r="J51" s="152"/>
      <c r="K51" s="153">
        <f>SUM(H50:K50)</f>
        <v>127.2375</v>
      </c>
      <c r="L51" s="148"/>
      <c r="M51" s="149"/>
      <c r="N51" s="149"/>
      <c r="O51" s="150">
        <f>SUM(L50:O50)</f>
        <v>1103.175</v>
      </c>
      <c r="P51" s="151"/>
      <c r="Q51" s="152"/>
      <c r="R51" s="152"/>
      <c r="S51" s="152">
        <f>SUM(P50:S50)</f>
        <v>3325.3217999999997</v>
      </c>
    </row>
    <row r="52" spans="1:19" ht="43.5" customHeight="1">
      <c r="A52" s="154" t="s">
        <v>87</v>
      </c>
      <c r="B52" s="392" t="s">
        <v>88</v>
      </c>
      <c r="C52" s="393"/>
      <c r="D52" s="393"/>
      <c r="E52" s="393"/>
      <c r="F52" s="393"/>
      <c r="G52" s="393"/>
      <c r="H52" s="393"/>
      <c r="I52" s="393"/>
      <c r="J52" s="393"/>
      <c r="K52" s="393"/>
      <c r="L52" s="393"/>
      <c r="M52" s="393"/>
      <c r="N52" s="393"/>
      <c r="O52" s="393"/>
      <c r="P52" s="393"/>
      <c r="Q52" s="393"/>
      <c r="R52" s="393"/>
      <c r="S52" s="393"/>
    </row>
    <row r="53" spans="1:19" ht="19.5" customHeight="1">
      <c r="A53" s="155"/>
      <c r="B53" s="156"/>
      <c r="C53" s="157"/>
      <c r="D53" s="158"/>
      <c r="E53" s="159"/>
      <c r="F53" s="159"/>
      <c r="G53" s="160"/>
      <c r="H53" s="161"/>
      <c r="I53" s="162"/>
      <c r="J53" s="162"/>
      <c r="K53" s="163"/>
      <c r="L53" s="158"/>
      <c r="M53" s="159"/>
      <c r="N53" s="159"/>
      <c r="O53" s="160"/>
      <c r="P53" s="161"/>
      <c r="Q53" s="162"/>
      <c r="R53" s="162"/>
      <c r="S53" s="162"/>
    </row>
    <row r="54" spans="1:19" ht="19.5" customHeight="1">
      <c r="A54" s="155"/>
      <c r="B54" s="144"/>
      <c r="C54" s="145"/>
      <c r="D54" s="164"/>
      <c r="E54" s="165"/>
      <c r="F54" s="165"/>
      <c r="G54" s="166"/>
      <c r="H54" s="167"/>
      <c r="I54" s="168"/>
      <c r="J54" s="168"/>
      <c r="K54" s="169"/>
      <c r="L54" s="164"/>
      <c r="M54" s="165"/>
      <c r="N54" s="165"/>
      <c r="O54" s="166"/>
      <c r="P54" s="167"/>
      <c r="Q54" s="168"/>
      <c r="R54" s="168"/>
      <c r="S54" s="168"/>
    </row>
    <row r="55" spans="1:19" ht="31.5" customHeight="1">
      <c r="A55" s="170" t="s">
        <v>89</v>
      </c>
      <c r="B55" s="387" t="s">
        <v>90</v>
      </c>
      <c r="C55" s="388"/>
      <c r="D55" s="389"/>
      <c r="E55" s="390"/>
      <c r="F55" s="390"/>
      <c r="G55" s="388"/>
      <c r="H55" s="389"/>
      <c r="I55" s="390"/>
      <c r="J55" s="390"/>
      <c r="K55" s="388"/>
      <c r="L55" s="389"/>
      <c r="M55" s="390"/>
      <c r="N55" s="390"/>
      <c r="O55" s="388"/>
      <c r="P55" s="389"/>
      <c r="Q55" s="390"/>
      <c r="R55" s="390"/>
      <c r="S55" s="391"/>
    </row>
    <row r="56" spans="1:19" ht="19.5" customHeight="1">
      <c r="A56" s="126" t="s">
        <v>91</v>
      </c>
      <c r="B56" s="171"/>
      <c r="C56" s="172"/>
      <c r="D56" s="113"/>
      <c r="E56" s="114"/>
      <c r="F56" s="114"/>
      <c r="G56" s="122"/>
      <c r="H56" s="123"/>
      <c r="I56" s="124"/>
      <c r="J56" s="124"/>
      <c r="K56" s="125"/>
      <c r="L56" s="113"/>
      <c r="M56" s="114"/>
      <c r="N56" s="114"/>
      <c r="O56" s="122"/>
      <c r="P56" s="123"/>
      <c r="Q56" s="124"/>
      <c r="R56" s="124"/>
      <c r="S56" s="124"/>
    </row>
    <row r="57" spans="1:19" ht="19.5" customHeight="1">
      <c r="A57" s="104" t="s">
        <v>92</v>
      </c>
      <c r="B57" s="171"/>
      <c r="C57" s="106"/>
      <c r="D57" s="173">
        <v>0</v>
      </c>
      <c r="E57" s="174">
        <v>0</v>
      </c>
      <c r="F57" s="174">
        <v>0.01</v>
      </c>
      <c r="G57" s="175">
        <v>0.02</v>
      </c>
      <c r="H57" s="176">
        <v>0.04</v>
      </c>
      <c r="I57" s="177">
        <v>0.06</v>
      </c>
      <c r="J57" s="177">
        <v>0.08</v>
      </c>
      <c r="K57" s="178">
        <v>0.1</v>
      </c>
      <c r="L57" s="173">
        <v>0.1</v>
      </c>
      <c r="M57" s="174">
        <v>0.1</v>
      </c>
      <c r="N57" s="174">
        <v>0.1</v>
      </c>
      <c r="O57" s="175">
        <v>0.1</v>
      </c>
      <c r="P57" s="176">
        <v>0.1</v>
      </c>
      <c r="Q57" s="177">
        <v>0.1</v>
      </c>
      <c r="R57" s="177">
        <v>0.1</v>
      </c>
      <c r="S57" s="177">
        <v>0.1</v>
      </c>
    </row>
    <row r="58" spans="1:19" ht="19.5" customHeight="1">
      <c r="A58" s="104" t="s">
        <v>93</v>
      </c>
      <c r="B58" s="171"/>
      <c r="C58" s="106"/>
      <c r="D58" s="173">
        <v>0.5</v>
      </c>
      <c r="E58" s="174">
        <v>0.5</v>
      </c>
      <c r="F58" s="174">
        <v>0.5</v>
      </c>
      <c r="G58" s="175">
        <v>0.5</v>
      </c>
      <c r="H58" s="176">
        <v>0.5</v>
      </c>
      <c r="I58" s="177">
        <v>0.5</v>
      </c>
      <c r="J58" s="177">
        <v>0.5</v>
      </c>
      <c r="K58" s="178">
        <v>0.5</v>
      </c>
      <c r="L58" s="173">
        <v>0.5</v>
      </c>
      <c r="M58" s="174">
        <v>0.5</v>
      </c>
      <c r="N58" s="174">
        <v>0.5</v>
      </c>
      <c r="O58" s="175">
        <v>0.5</v>
      </c>
      <c r="P58" s="176">
        <v>0.5</v>
      </c>
      <c r="Q58" s="177">
        <v>0.5</v>
      </c>
      <c r="R58" s="177">
        <v>0.5</v>
      </c>
      <c r="S58" s="177">
        <v>0.5</v>
      </c>
    </row>
    <row r="59" spans="1:19" ht="19.5" customHeight="1">
      <c r="A59" s="104" t="s">
        <v>94</v>
      </c>
      <c r="B59" s="171"/>
      <c r="C59" s="172"/>
      <c r="D59" s="107">
        <v>2500</v>
      </c>
      <c r="E59" s="108">
        <v>2500</v>
      </c>
      <c r="F59" s="108">
        <v>2500</v>
      </c>
      <c r="G59" s="109">
        <v>2500</v>
      </c>
      <c r="H59" s="110">
        <v>2500</v>
      </c>
      <c r="I59" s="111">
        <v>2500</v>
      </c>
      <c r="J59" s="111">
        <v>2500</v>
      </c>
      <c r="K59" s="112">
        <v>2500</v>
      </c>
      <c r="L59" s="107">
        <v>2500</v>
      </c>
      <c r="M59" s="108">
        <v>2500</v>
      </c>
      <c r="N59" s="108">
        <v>2500</v>
      </c>
      <c r="O59" s="109">
        <v>2500</v>
      </c>
      <c r="P59" s="110">
        <v>2500</v>
      </c>
      <c r="Q59" s="111">
        <v>2500</v>
      </c>
      <c r="R59" s="111">
        <v>2500</v>
      </c>
      <c r="S59" s="111">
        <v>2500</v>
      </c>
    </row>
    <row r="60" spans="1:19" ht="19.5" customHeight="1">
      <c r="A60" s="104" t="s">
        <v>95</v>
      </c>
      <c r="B60" s="171"/>
      <c r="C60" s="172"/>
      <c r="D60" s="107">
        <v>10000</v>
      </c>
      <c r="E60" s="108">
        <v>10000</v>
      </c>
      <c r="F60" s="108">
        <v>10000</v>
      </c>
      <c r="G60" s="109">
        <v>10000</v>
      </c>
      <c r="H60" s="110">
        <v>10000</v>
      </c>
      <c r="I60" s="111">
        <v>10000</v>
      </c>
      <c r="J60" s="111">
        <v>10000</v>
      </c>
      <c r="K60" s="112">
        <v>10000</v>
      </c>
      <c r="L60" s="107">
        <v>10000</v>
      </c>
      <c r="M60" s="108">
        <v>10000</v>
      </c>
      <c r="N60" s="108">
        <v>10000</v>
      </c>
      <c r="O60" s="109">
        <v>10000</v>
      </c>
      <c r="P60" s="110">
        <v>10000</v>
      </c>
      <c r="Q60" s="111">
        <v>10000</v>
      </c>
      <c r="R60" s="111">
        <v>10000</v>
      </c>
      <c r="S60" s="111">
        <v>10000</v>
      </c>
    </row>
    <row r="61" spans="1:19" ht="19.5" customHeight="1">
      <c r="A61" s="104" t="s">
        <v>96</v>
      </c>
      <c r="B61" s="133" t="s">
        <v>60</v>
      </c>
      <c r="C61" s="134">
        <v>0.2</v>
      </c>
      <c r="D61" s="115">
        <f t="shared" ref="D61:S61" si="20">$C$61*D59*D57*3*D16</f>
        <v>0</v>
      </c>
      <c r="E61" s="116">
        <f t="shared" si="20"/>
        <v>0</v>
      </c>
      <c r="F61" s="116">
        <f t="shared" si="20"/>
        <v>2430</v>
      </c>
      <c r="G61" s="117">
        <f t="shared" si="20"/>
        <v>22140</v>
      </c>
      <c r="H61" s="118">
        <f t="shared" si="20"/>
        <v>154440</v>
      </c>
      <c r="I61" s="119">
        <f t="shared" si="20"/>
        <v>704700</v>
      </c>
      <c r="J61" s="119">
        <f t="shared" si="20"/>
        <v>2278800</v>
      </c>
      <c r="K61" s="120">
        <f t="shared" si="20"/>
        <v>5877900</v>
      </c>
      <c r="L61" s="115">
        <f t="shared" si="20"/>
        <v>10829700</v>
      </c>
      <c r="M61" s="116">
        <f t="shared" si="20"/>
        <v>18238500</v>
      </c>
      <c r="N61" s="116">
        <f t="shared" si="20"/>
        <v>27396900</v>
      </c>
      <c r="O61" s="117">
        <f t="shared" si="20"/>
        <v>38304900</v>
      </c>
      <c r="P61" s="118">
        <f t="shared" si="20"/>
        <v>50962500</v>
      </c>
      <c r="Q61" s="119">
        <f t="shared" si="20"/>
        <v>65369700</v>
      </c>
      <c r="R61" s="119">
        <f t="shared" si="20"/>
        <v>81526500</v>
      </c>
      <c r="S61" s="119">
        <f t="shared" si="20"/>
        <v>99432900</v>
      </c>
    </row>
    <row r="62" spans="1:19" ht="19.5" customHeight="1">
      <c r="A62" s="155"/>
      <c r="B62" s="133" t="s">
        <v>61</v>
      </c>
      <c r="C62" s="134">
        <f>100%-C61</f>
        <v>0.8</v>
      </c>
      <c r="D62" s="115">
        <f t="shared" ref="D62:S62" si="21">$C$62*D59*D57*3*D16</f>
        <v>0</v>
      </c>
      <c r="E62" s="116">
        <f t="shared" si="21"/>
        <v>0</v>
      </c>
      <c r="F62" s="116">
        <f t="shared" si="21"/>
        <v>9720</v>
      </c>
      <c r="G62" s="117">
        <f t="shared" si="21"/>
        <v>88560</v>
      </c>
      <c r="H62" s="118">
        <f t="shared" si="21"/>
        <v>617760</v>
      </c>
      <c r="I62" s="119">
        <f t="shared" si="21"/>
        <v>2818800</v>
      </c>
      <c r="J62" s="119">
        <f t="shared" si="21"/>
        <v>9115200</v>
      </c>
      <c r="K62" s="120">
        <f t="shared" si="21"/>
        <v>23511600</v>
      </c>
      <c r="L62" s="115">
        <f t="shared" si="21"/>
        <v>43318800</v>
      </c>
      <c r="M62" s="116">
        <f t="shared" si="21"/>
        <v>72954000</v>
      </c>
      <c r="N62" s="116">
        <f t="shared" si="21"/>
        <v>109587600</v>
      </c>
      <c r="O62" s="117">
        <f t="shared" si="21"/>
        <v>153219600</v>
      </c>
      <c r="P62" s="118">
        <f t="shared" si="21"/>
        <v>203850000</v>
      </c>
      <c r="Q62" s="119">
        <f t="shared" si="21"/>
        <v>261478800</v>
      </c>
      <c r="R62" s="119">
        <f t="shared" si="21"/>
        <v>326106000</v>
      </c>
      <c r="S62" s="119">
        <f t="shared" si="21"/>
        <v>397731600</v>
      </c>
    </row>
    <row r="63" spans="1:19" ht="19.5" customHeight="1">
      <c r="A63" s="104" t="s">
        <v>97</v>
      </c>
      <c r="B63" s="133" t="s">
        <v>60</v>
      </c>
      <c r="C63" s="134">
        <v>0.2</v>
      </c>
      <c r="D63" s="115">
        <f t="shared" ref="D63:S63" si="22">$C$63*D60*D58*D57*D16*3</f>
        <v>0</v>
      </c>
      <c r="E63" s="116">
        <f t="shared" si="22"/>
        <v>0</v>
      </c>
      <c r="F63" s="116">
        <f t="shared" si="22"/>
        <v>4860</v>
      </c>
      <c r="G63" s="117">
        <f t="shared" si="22"/>
        <v>44280</v>
      </c>
      <c r="H63" s="118">
        <f t="shared" si="22"/>
        <v>308880</v>
      </c>
      <c r="I63" s="119">
        <f t="shared" si="22"/>
        <v>1409400</v>
      </c>
      <c r="J63" s="119">
        <f t="shared" si="22"/>
        <v>4557600</v>
      </c>
      <c r="K63" s="120">
        <f t="shared" si="22"/>
        <v>11755800</v>
      </c>
      <c r="L63" s="115">
        <f t="shared" si="22"/>
        <v>21659400</v>
      </c>
      <c r="M63" s="116">
        <f t="shared" si="22"/>
        <v>36477000</v>
      </c>
      <c r="N63" s="116">
        <f t="shared" si="22"/>
        <v>54793800</v>
      </c>
      <c r="O63" s="117">
        <f t="shared" si="22"/>
        <v>76609800</v>
      </c>
      <c r="P63" s="118">
        <f t="shared" si="22"/>
        <v>101925000</v>
      </c>
      <c r="Q63" s="119">
        <f t="shared" si="22"/>
        <v>130739400</v>
      </c>
      <c r="R63" s="119">
        <f t="shared" si="22"/>
        <v>163053000</v>
      </c>
      <c r="S63" s="119">
        <f t="shared" si="22"/>
        <v>198865800</v>
      </c>
    </row>
    <row r="64" spans="1:19" ht="19.5" customHeight="1">
      <c r="A64" s="155"/>
      <c r="B64" s="133" t="s">
        <v>61</v>
      </c>
      <c r="C64" s="134">
        <f>100%-C63</f>
        <v>0.8</v>
      </c>
      <c r="D64" s="115">
        <f t="shared" ref="D64:S64" si="23">$C$64*D60*D58*D57*D16</f>
        <v>0</v>
      </c>
      <c r="E64" s="116">
        <f t="shared" si="23"/>
        <v>0</v>
      </c>
      <c r="F64" s="116">
        <f t="shared" si="23"/>
        <v>6480</v>
      </c>
      <c r="G64" s="117">
        <f t="shared" si="23"/>
        <v>59040</v>
      </c>
      <c r="H64" s="118">
        <f t="shared" si="23"/>
        <v>411840</v>
      </c>
      <c r="I64" s="119">
        <f t="shared" si="23"/>
        <v>1879200</v>
      </c>
      <c r="J64" s="119">
        <f t="shared" si="23"/>
        <v>6076800</v>
      </c>
      <c r="K64" s="120">
        <f t="shared" si="23"/>
        <v>15674400</v>
      </c>
      <c r="L64" s="115">
        <f t="shared" si="23"/>
        <v>28879200</v>
      </c>
      <c r="M64" s="116">
        <f t="shared" si="23"/>
        <v>48636000</v>
      </c>
      <c r="N64" s="116">
        <f t="shared" si="23"/>
        <v>73058400</v>
      </c>
      <c r="O64" s="117">
        <f t="shared" si="23"/>
        <v>102146400</v>
      </c>
      <c r="P64" s="118">
        <f t="shared" si="23"/>
        <v>135900000</v>
      </c>
      <c r="Q64" s="119">
        <f t="shared" si="23"/>
        <v>174319200</v>
      </c>
      <c r="R64" s="119">
        <f t="shared" si="23"/>
        <v>217404000</v>
      </c>
      <c r="S64" s="119">
        <f t="shared" si="23"/>
        <v>265154400</v>
      </c>
    </row>
    <row r="65" spans="1:19" ht="19.5" customHeight="1">
      <c r="A65" s="381" t="s">
        <v>98</v>
      </c>
      <c r="B65" s="133" t="s">
        <v>60</v>
      </c>
      <c r="C65" s="106"/>
      <c r="D65" s="115">
        <f t="shared" ref="D65:S65" si="24">(D63+D61+D45)/10000000</f>
        <v>0</v>
      </c>
      <c r="E65" s="116">
        <f t="shared" si="24"/>
        <v>8.5184999999999997E-2</v>
      </c>
      <c r="F65" s="116">
        <f t="shared" si="24"/>
        <v>0.242784</v>
      </c>
      <c r="G65" s="117">
        <f t="shared" si="24"/>
        <v>1.1303369999999999</v>
      </c>
      <c r="H65" s="118">
        <f t="shared" si="24"/>
        <v>3.9223170000000001</v>
      </c>
      <c r="I65" s="119">
        <f t="shared" si="24"/>
        <v>11.919734999999999</v>
      </c>
      <c r="J65" s="119">
        <f t="shared" si="24"/>
        <v>28.682865</v>
      </c>
      <c r="K65" s="120">
        <f t="shared" si="24"/>
        <v>58.831785000000004</v>
      </c>
      <c r="L65" s="115">
        <f t="shared" si="24"/>
        <v>107.34475500000001</v>
      </c>
      <c r="M65" s="116">
        <f t="shared" si="24"/>
        <v>179.23027500000001</v>
      </c>
      <c r="N65" s="116">
        <f t="shared" si="24"/>
        <v>265.94563499999998</v>
      </c>
      <c r="O65" s="117">
        <f t="shared" si="24"/>
        <v>368.66983499999998</v>
      </c>
      <c r="P65" s="118">
        <f t="shared" si="24"/>
        <v>487.40287499999999</v>
      </c>
      <c r="Q65" s="119">
        <f t="shared" si="24"/>
        <v>622.14475500000003</v>
      </c>
      <c r="R65" s="119">
        <f t="shared" si="24"/>
        <v>772.89547500000003</v>
      </c>
      <c r="S65" s="119">
        <f t="shared" si="24"/>
        <v>939.655035</v>
      </c>
    </row>
    <row r="66" spans="1:19" ht="19.5" customHeight="1">
      <c r="A66" s="382"/>
      <c r="B66" s="133" t="s">
        <v>61</v>
      </c>
      <c r="C66" s="106"/>
      <c r="D66" s="115">
        <f t="shared" ref="D66:S66" si="25">(D64+D62+D47)/10000000</f>
        <v>0</v>
      </c>
      <c r="E66" s="116">
        <f t="shared" si="25"/>
        <v>2.6865E-2</v>
      </c>
      <c r="F66" s="116">
        <f t="shared" si="25"/>
        <v>6.8714999999999998E-2</v>
      </c>
      <c r="G66" s="117">
        <f t="shared" si="25"/>
        <v>0.34141500000000002</v>
      </c>
      <c r="H66" s="118">
        <f t="shared" si="25"/>
        <v>1.199025</v>
      </c>
      <c r="I66" s="119">
        <f t="shared" si="25"/>
        <v>3.7217250000000002</v>
      </c>
      <c r="J66" s="119">
        <f t="shared" si="25"/>
        <v>9.0092250000000007</v>
      </c>
      <c r="K66" s="120">
        <f t="shared" si="25"/>
        <v>18.666135000000001</v>
      </c>
      <c r="L66" s="115">
        <f t="shared" si="25"/>
        <v>33.341805000000001</v>
      </c>
      <c r="M66" s="116">
        <f t="shared" si="25"/>
        <v>54.600524999999998</v>
      </c>
      <c r="N66" s="116">
        <f t="shared" si="25"/>
        <v>78.733485000000002</v>
      </c>
      <c r="O66" s="117">
        <f t="shared" si="25"/>
        <v>106.919685</v>
      </c>
      <c r="P66" s="118">
        <f t="shared" si="25"/>
        <v>139.15912499999999</v>
      </c>
      <c r="Q66" s="119">
        <f t="shared" si="25"/>
        <v>175.45180500000001</v>
      </c>
      <c r="R66" s="119">
        <f t="shared" si="25"/>
        <v>215.79772500000001</v>
      </c>
      <c r="S66" s="119">
        <f t="shared" si="25"/>
        <v>260.19688500000001</v>
      </c>
    </row>
    <row r="67" spans="1:19" ht="19.5" customHeight="1">
      <c r="A67" s="155"/>
      <c r="B67" s="105"/>
      <c r="C67" s="106"/>
      <c r="D67" s="113"/>
      <c r="E67" s="114"/>
      <c r="F67" s="114"/>
      <c r="G67" s="122"/>
      <c r="H67" s="123"/>
      <c r="I67" s="124"/>
      <c r="J67" s="124"/>
      <c r="K67" s="125"/>
      <c r="L67" s="113"/>
      <c r="M67" s="114"/>
      <c r="N67" s="114"/>
      <c r="O67" s="122"/>
      <c r="P67" s="123"/>
      <c r="Q67" s="124"/>
      <c r="R67" s="124"/>
      <c r="S67" s="124"/>
    </row>
    <row r="68" spans="1:19" ht="19.5" customHeight="1">
      <c r="A68" s="155"/>
      <c r="B68" s="105"/>
      <c r="C68" s="106"/>
      <c r="D68" s="113"/>
      <c r="E68" s="114"/>
      <c r="F68" s="114"/>
      <c r="G68" s="122"/>
      <c r="H68" s="123"/>
      <c r="I68" s="124"/>
      <c r="J68" s="124"/>
      <c r="K68" s="125"/>
      <c r="L68" s="113"/>
      <c r="M68" s="114"/>
      <c r="N68" s="114"/>
      <c r="O68" s="122"/>
      <c r="P68" s="123"/>
      <c r="Q68" s="124"/>
      <c r="R68" s="124"/>
      <c r="S68" s="124"/>
    </row>
    <row r="69" spans="1:19" ht="19.5" customHeight="1">
      <c r="A69" s="104" t="s">
        <v>99</v>
      </c>
      <c r="B69" s="105"/>
      <c r="C69" s="106"/>
      <c r="D69" s="115">
        <f t="shared" ref="D69:S69" si="26">D65+D48</f>
        <v>0</v>
      </c>
      <c r="E69" s="116">
        <f t="shared" si="26"/>
        <v>0.17036999999999999</v>
      </c>
      <c r="F69" s="116">
        <f t="shared" si="26"/>
        <v>0.48483900000000002</v>
      </c>
      <c r="G69" s="117">
        <f t="shared" si="26"/>
        <v>2.254032</v>
      </c>
      <c r="H69" s="118">
        <f t="shared" si="26"/>
        <v>7.7983019999999996</v>
      </c>
      <c r="I69" s="119">
        <f t="shared" si="26"/>
        <v>23.628059999999998</v>
      </c>
      <c r="J69" s="119">
        <f t="shared" si="26"/>
        <v>56.682090000000002</v>
      </c>
      <c r="K69" s="120">
        <f t="shared" si="26"/>
        <v>115.90020000000001</v>
      </c>
      <c r="L69" s="115">
        <f t="shared" si="26"/>
        <v>211.44060000000002</v>
      </c>
      <c r="M69" s="116">
        <f t="shared" si="26"/>
        <v>352.98900000000003</v>
      </c>
      <c r="N69" s="116">
        <f t="shared" si="26"/>
        <v>523.67219999999998</v>
      </c>
      <c r="O69" s="117">
        <f t="shared" si="26"/>
        <v>725.84819999999991</v>
      </c>
      <c r="P69" s="118">
        <f t="shared" si="26"/>
        <v>959.51700000000005</v>
      </c>
      <c r="Q69" s="119">
        <f t="shared" si="26"/>
        <v>1224.6786000000002</v>
      </c>
      <c r="R69" s="119">
        <f t="shared" si="26"/>
        <v>1521.3330000000001</v>
      </c>
      <c r="S69" s="119">
        <f t="shared" si="26"/>
        <v>1849.4802</v>
      </c>
    </row>
    <row r="70" spans="1:19" ht="19.5" customHeight="1">
      <c r="A70" s="104" t="s">
        <v>100</v>
      </c>
      <c r="B70" s="105"/>
      <c r="C70" s="106"/>
      <c r="D70" s="107">
        <f t="shared" ref="D70:S70" si="27">100*D69/D13</f>
        <v>0</v>
      </c>
      <c r="E70" s="108">
        <f t="shared" si="27"/>
        <v>0.47324999999999995</v>
      </c>
      <c r="F70" s="108">
        <f t="shared" si="27"/>
        <v>0.50504062500000002</v>
      </c>
      <c r="G70" s="109">
        <f t="shared" si="27"/>
        <v>1.1049176470588236</v>
      </c>
      <c r="H70" s="110">
        <f t="shared" si="27"/>
        <v>1.7804342465753424</v>
      </c>
      <c r="I70" s="111">
        <f t="shared" si="27"/>
        <v>3.1758145161290319</v>
      </c>
      <c r="J70" s="111">
        <f t="shared" si="27"/>
        <v>5.0518796791443847</v>
      </c>
      <c r="K70" s="112">
        <f t="shared" si="27"/>
        <v>7.3727862595419849</v>
      </c>
      <c r="L70" s="107">
        <f t="shared" si="27"/>
        <v>10.274081632653061</v>
      </c>
      <c r="M70" s="108">
        <f t="shared" si="27"/>
        <v>13.875353773584907</v>
      </c>
      <c r="N70" s="108">
        <f t="shared" si="27"/>
        <v>17.282910891089109</v>
      </c>
      <c r="O70" s="109">
        <f t="shared" si="27"/>
        <v>20.644146757679177</v>
      </c>
      <c r="P70" s="110">
        <f t="shared" si="27"/>
        <v>23.975937031484261</v>
      </c>
      <c r="Q70" s="111">
        <f t="shared" si="27"/>
        <v>27.287847593582892</v>
      </c>
      <c r="R70" s="111">
        <f t="shared" si="27"/>
        <v>30.585705669481307</v>
      </c>
      <c r="S70" s="111">
        <f t="shared" si="27"/>
        <v>33.873263736263738</v>
      </c>
    </row>
    <row r="71" spans="1:19" ht="19.5" customHeight="1">
      <c r="A71" s="127"/>
      <c r="B71" s="105"/>
      <c r="C71" s="106"/>
      <c r="D71" s="179"/>
      <c r="E71" s="180"/>
      <c r="F71" s="180"/>
      <c r="G71" s="181"/>
      <c r="H71" s="123"/>
      <c r="I71" s="124"/>
      <c r="J71" s="124"/>
      <c r="K71" s="125"/>
      <c r="L71" s="179"/>
      <c r="M71" s="180"/>
      <c r="N71" s="180"/>
      <c r="O71" s="181"/>
      <c r="P71" s="123"/>
      <c r="Q71" s="124"/>
      <c r="R71" s="124"/>
      <c r="S71" s="124"/>
    </row>
  </sheetData>
  <mergeCells count="15">
    <mergeCell ref="A65:A66"/>
    <mergeCell ref="A1:S1"/>
    <mergeCell ref="B55:S55"/>
    <mergeCell ref="B52:S52"/>
    <mergeCell ref="C2:C3"/>
    <mergeCell ref="B2:B3"/>
    <mergeCell ref="A22:A23"/>
    <mergeCell ref="L2:O2"/>
    <mergeCell ref="H2:K2"/>
    <mergeCell ref="P2:S2"/>
    <mergeCell ref="A37:A38"/>
    <mergeCell ref="D2:G2"/>
    <mergeCell ref="A2:A3"/>
    <mergeCell ref="A25:A32"/>
    <mergeCell ref="A42:A43"/>
  </mergeCells>
  <printOptions horizontalCentered="1" verticalCentered="1"/>
  <pageMargins left="1" right="1" top="1" bottom="1" header="0" footer="0"/>
  <pageSetup paperSize="9" scale="61" fitToWidth="2" fitToHeight="2" orientation="landscape" r:id="rId1"/>
  <headerFooter>
    <oddHeader>&amp;CYotto.in Start-up Funding Financial Projections</oddHeader>
    <oddFooter>&amp;C&amp;"Helvetica Neue,Regular"&amp;10&amp;K000000000000&amp;P</oddFooter>
  </headerFooter>
  <rowBreaks count="1" manualBreakCount="1">
    <brk id="38"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8"/>
  <sheetViews>
    <sheetView showGridLines="0" workbookViewId="0">
      <selection sqref="A1:Q1"/>
    </sheetView>
  </sheetViews>
  <sheetFormatPr defaultColWidth="14.44140625" defaultRowHeight="15" customHeight="1"/>
  <cols>
    <col min="1" max="1" width="18" style="182" customWidth="1"/>
    <col min="2" max="4" width="4.33203125" style="182" customWidth="1"/>
    <col min="5" max="17" width="5.5546875" style="182" customWidth="1"/>
    <col min="18" max="256" width="14.44140625" style="182" customWidth="1"/>
  </cols>
  <sheetData>
    <row r="1" spans="1:17" ht="14.7" customHeight="1">
      <c r="A1" s="404" t="s">
        <v>101</v>
      </c>
      <c r="B1" s="405"/>
      <c r="C1" s="405"/>
      <c r="D1" s="405"/>
      <c r="E1" s="405"/>
      <c r="F1" s="406"/>
      <c r="G1" s="406"/>
      <c r="H1" s="406"/>
      <c r="I1" s="406"/>
      <c r="J1" s="405"/>
      <c r="K1" s="405"/>
      <c r="L1" s="405"/>
      <c r="M1" s="405"/>
      <c r="N1" s="406"/>
      <c r="O1" s="406"/>
      <c r="P1" s="406"/>
      <c r="Q1" s="407"/>
    </row>
    <row r="2" spans="1:17" ht="21" customHeight="1">
      <c r="A2" s="408" t="s">
        <v>102</v>
      </c>
      <c r="B2" s="416" t="s">
        <v>1</v>
      </c>
      <c r="C2" s="414"/>
      <c r="D2" s="414"/>
      <c r="E2" s="415"/>
      <c r="F2" s="410" t="s">
        <v>2</v>
      </c>
      <c r="G2" s="411"/>
      <c r="H2" s="411"/>
      <c r="I2" s="412"/>
      <c r="J2" s="413" t="s">
        <v>3</v>
      </c>
      <c r="K2" s="414"/>
      <c r="L2" s="414"/>
      <c r="M2" s="415"/>
      <c r="N2" s="410" t="s">
        <v>4</v>
      </c>
      <c r="O2" s="411"/>
      <c r="P2" s="411"/>
      <c r="Q2" s="412"/>
    </row>
    <row r="3" spans="1:17" ht="20.25" customHeight="1">
      <c r="A3" s="409"/>
      <c r="B3" s="183" t="s">
        <v>5</v>
      </c>
      <c r="C3" s="184" t="s">
        <v>6</v>
      </c>
      <c r="D3" s="184" t="s">
        <v>7</v>
      </c>
      <c r="E3" s="185" t="s">
        <v>8</v>
      </c>
      <c r="F3" s="186" t="s">
        <v>5</v>
      </c>
      <c r="G3" s="187" t="s">
        <v>6</v>
      </c>
      <c r="H3" s="187" t="s">
        <v>7</v>
      </c>
      <c r="I3" s="188" t="s">
        <v>8</v>
      </c>
      <c r="J3" s="189" t="s">
        <v>5</v>
      </c>
      <c r="K3" s="184" t="s">
        <v>6</v>
      </c>
      <c r="L3" s="184" t="s">
        <v>7</v>
      </c>
      <c r="M3" s="185" t="s">
        <v>8</v>
      </c>
      <c r="N3" s="186" t="s">
        <v>5</v>
      </c>
      <c r="O3" s="187" t="s">
        <v>6</v>
      </c>
      <c r="P3" s="187" t="s">
        <v>7</v>
      </c>
      <c r="Q3" s="188" t="s">
        <v>8</v>
      </c>
    </row>
    <row r="4" spans="1:17" ht="19.5" customHeight="1">
      <c r="A4" s="104" t="s">
        <v>103</v>
      </c>
      <c r="B4" s="190">
        <f>'Marketing Cost - Marketing Cost'!E32</f>
        <v>1.6706399999999999</v>
      </c>
      <c r="C4" s="191">
        <f>'Marketing Cost - Marketing Cost'!F32</f>
        <v>1.6835</v>
      </c>
      <c r="D4" s="191">
        <f>'Marketing Cost - Marketing Cost'!G32</f>
        <v>4.6970000000000001</v>
      </c>
      <c r="E4" s="192">
        <f>'Marketing Cost - Marketing Cost'!H32</f>
        <v>7.8140000000000001</v>
      </c>
      <c r="F4" s="193">
        <f>'Marketing Cost - Marketing Cost'!I32</f>
        <v>8.1355799999999991</v>
      </c>
      <c r="G4" s="194">
        <f>'Marketing Cost - Marketing Cost'!J32</f>
        <v>8.984</v>
      </c>
      <c r="H4" s="194">
        <f>'Marketing Cost - Marketing Cost'!K32</f>
        <v>10.46</v>
      </c>
      <c r="I4" s="195">
        <f>'Marketing Cost - Marketing Cost'!L32</f>
        <v>12.718999999999999</v>
      </c>
      <c r="J4" s="196">
        <f>'Marketing Cost - Marketing Cost'!M32</f>
        <v>15.966060000000001</v>
      </c>
      <c r="K4" s="191">
        <f>'Marketing Cost - Marketing Cost'!N32</f>
        <v>20.081499999999998</v>
      </c>
      <c r="L4" s="191">
        <f>'Marketing Cost - Marketing Cost'!O32</f>
        <v>23.020219999999998</v>
      </c>
      <c r="M4" s="192">
        <f>'Marketing Cost - Marketing Cost'!P32</f>
        <v>25.964880000000001</v>
      </c>
      <c r="N4" s="193">
        <f>'Marketing Cost - Marketing Cost'!Q32</f>
        <v>28.911840000000002</v>
      </c>
      <c r="O4" s="194">
        <f>'Marketing Cost - Marketing Cost'!R32</f>
        <v>31.86476</v>
      </c>
      <c r="P4" s="194">
        <f>'Marketing Cost - Marketing Cost'!S32</f>
        <v>34.819960000000002</v>
      </c>
      <c r="Q4" s="195">
        <f>'Marketing Cost - Marketing Cost'!T32</f>
        <v>37.781120000000001</v>
      </c>
    </row>
    <row r="5" spans="1:17" ht="19.5" customHeight="1">
      <c r="A5" s="104" t="s">
        <v>104</v>
      </c>
      <c r="B5" s="190">
        <f>'HR Cost'!D26</f>
        <v>1.7124999999999999</v>
      </c>
      <c r="C5" s="191">
        <f>'HR Cost'!E26</f>
        <v>1.7124999999999999</v>
      </c>
      <c r="D5" s="191">
        <f>'HR Cost'!F26</f>
        <v>1.9524999999999999</v>
      </c>
      <c r="E5" s="192">
        <f>'HR Cost'!G26</f>
        <v>2.2974999999999999</v>
      </c>
      <c r="F5" s="193">
        <f>'HR Cost'!H26</f>
        <v>2.8675000000000002</v>
      </c>
      <c r="G5" s="194">
        <f>'HR Cost'!I26</f>
        <v>3.73</v>
      </c>
      <c r="H5" s="194">
        <f>'HR Cost'!J26</f>
        <v>5.0149999999999997</v>
      </c>
      <c r="I5" s="195">
        <f>'HR Cost'!K26</f>
        <v>6.7725</v>
      </c>
      <c r="J5" s="196">
        <f>'HR Cost'!L26</f>
        <v>9.1024999999999991</v>
      </c>
      <c r="K5" s="191">
        <f>'HR Cost'!M26</f>
        <v>12.0975</v>
      </c>
      <c r="L5" s="191">
        <f>'HR Cost'!N26</f>
        <v>15.077500000000001</v>
      </c>
      <c r="M5" s="192">
        <f>'HR Cost'!O26</f>
        <v>18.420000000000002</v>
      </c>
      <c r="N5" s="193">
        <f>'HR Cost'!P26</f>
        <v>22.122499999999999</v>
      </c>
      <c r="O5" s="194">
        <f>'HR Cost'!Q26</f>
        <v>26.25</v>
      </c>
      <c r="P5" s="194">
        <f>'HR Cost'!R26</f>
        <v>30.737500000000001</v>
      </c>
      <c r="Q5" s="195">
        <f>'HR Cost'!S26</f>
        <v>35.6175</v>
      </c>
    </row>
    <row r="6" spans="1:17" ht="19.5" customHeight="1">
      <c r="A6" s="104" t="s">
        <v>105</v>
      </c>
      <c r="B6" s="190">
        <f>'Software Cost'!D17</f>
        <v>0.66</v>
      </c>
      <c r="C6" s="191">
        <f>'Software Cost'!E17</f>
        <v>0.66048600000000002</v>
      </c>
      <c r="D6" s="191">
        <f>'Software Cost'!F17</f>
        <v>0.66145799999999999</v>
      </c>
      <c r="E6" s="192">
        <f>'Software Cost'!G17</f>
        <v>0.66664199999999996</v>
      </c>
      <c r="F6" s="193">
        <f>'Software Cost'!H17</f>
        <v>0.68316600000000005</v>
      </c>
      <c r="G6" s="194">
        <f>'Software Cost'!I17</f>
        <v>0.73046999999999995</v>
      </c>
      <c r="H6" s="194">
        <f>'Software Cost'!J17</f>
        <v>0.83091000000000004</v>
      </c>
      <c r="I6" s="195">
        <f>'Software Cost'!K17</f>
        <v>1.0126740000000001</v>
      </c>
      <c r="J6" s="196">
        <f>'Software Cost'!L17</f>
        <v>1.309782</v>
      </c>
      <c r="K6" s="191">
        <f>'Software Cost'!M17</f>
        <v>1.75431</v>
      </c>
      <c r="L6" s="191">
        <f>'Software Cost'!N17</f>
        <v>2.303814</v>
      </c>
      <c r="M6" s="192">
        <f>'Software Cost'!O17</f>
        <v>2.958294</v>
      </c>
      <c r="N6" s="193">
        <f>'Software Cost'!P17</f>
        <v>3.3577499999999998</v>
      </c>
      <c r="O6" s="194">
        <f>'Software Cost'!Q17</f>
        <v>4.2221820000000001</v>
      </c>
      <c r="P6" s="194">
        <f>'Software Cost'!R17</f>
        <v>5.1915899999999997</v>
      </c>
      <c r="Q6" s="195">
        <f>'Software Cost'!S17</f>
        <v>6.2659739999999999</v>
      </c>
    </row>
    <row r="7" spans="1:17" ht="19.5" customHeight="1">
      <c r="A7" s="104" t="s">
        <v>106</v>
      </c>
      <c r="B7" s="190">
        <f>'Revenue Projection'!D45/10000000</f>
        <v>0</v>
      </c>
      <c r="C7" s="191">
        <f>'Revenue Projection'!E45/10000000</f>
        <v>8.5184999999999997E-2</v>
      </c>
      <c r="D7" s="191">
        <f>'Revenue Projection'!F45/10000000</f>
        <v>0.24205499999999999</v>
      </c>
      <c r="E7" s="192">
        <f>'Revenue Projection'!G45/10000000</f>
        <v>1.1236950000000001</v>
      </c>
      <c r="F7" s="193"/>
      <c r="G7" s="194"/>
      <c r="H7" s="194"/>
      <c r="I7" s="195"/>
      <c r="J7" s="196"/>
      <c r="K7" s="191"/>
      <c r="L7" s="191"/>
      <c r="M7" s="192"/>
      <c r="N7" s="193"/>
      <c r="O7" s="194"/>
      <c r="P7" s="194"/>
      <c r="Q7" s="195"/>
    </row>
    <row r="8" spans="1:17" ht="19.5" customHeight="1">
      <c r="A8" s="104" t="s">
        <v>107</v>
      </c>
      <c r="B8" s="197">
        <f t="shared" ref="B8:Q8" si="0">SUM(B4:B7)</f>
        <v>4.0431400000000002</v>
      </c>
      <c r="C8" s="198">
        <f t="shared" si="0"/>
        <v>4.1416709999999997</v>
      </c>
      <c r="D8" s="198">
        <f t="shared" si="0"/>
        <v>7.5530129999999991</v>
      </c>
      <c r="E8" s="199">
        <f t="shared" si="0"/>
        <v>11.901836999999999</v>
      </c>
      <c r="F8" s="200">
        <f t="shared" si="0"/>
        <v>11.686245999999999</v>
      </c>
      <c r="G8" s="201">
        <f t="shared" si="0"/>
        <v>13.444470000000001</v>
      </c>
      <c r="H8" s="201">
        <f t="shared" si="0"/>
        <v>16.305910000000001</v>
      </c>
      <c r="I8" s="202">
        <f t="shared" si="0"/>
        <v>20.504173999999999</v>
      </c>
      <c r="J8" s="203">
        <f t="shared" si="0"/>
        <v>26.378341999999996</v>
      </c>
      <c r="K8" s="198">
        <f t="shared" si="0"/>
        <v>33.933309999999999</v>
      </c>
      <c r="L8" s="198">
        <f t="shared" si="0"/>
        <v>40.401533999999998</v>
      </c>
      <c r="M8" s="199">
        <f t="shared" si="0"/>
        <v>47.343174000000005</v>
      </c>
      <c r="N8" s="200">
        <f t="shared" si="0"/>
        <v>54.392090000000003</v>
      </c>
      <c r="O8" s="201">
        <f t="shared" si="0"/>
        <v>62.336942000000008</v>
      </c>
      <c r="P8" s="201">
        <f t="shared" si="0"/>
        <v>70.749050000000011</v>
      </c>
      <c r="Q8" s="202">
        <f t="shared" si="0"/>
        <v>79.664593999999994</v>
      </c>
    </row>
  </sheetData>
  <mergeCells count="6">
    <mergeCell ref="A1:Q1"/>
    <mergeCell ref="A2:A3"/>
    <mergeCell ref="F2:I2"/>
    <mergeCell ref="J2:M2"/>
    <mergeCell ref="N2:Q2"/>
    <mergeCell ref="B2:E2"/>
  </mergeCells>
  <printOptions horizontalCentered="1"/>
  <pageMargins left="1" right="1" top="1" bottom="1" header="0" footer="0"/>
  <pageSetup paperSize="9" fitToHeight="0" orientation="landscape" r:id="rId1"/>
  <headerFooter>
    <oddFooter>&amp;C&amp;"Helvetica Neue,Regular"&amp;10&amp;K000000000000&amp;P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showGridLines="0" workbookViewId="0">
      <selection sqref="A1:R1"/>
    </sheetView>
  </sheetViews>
  <sheetFormatPr defaultColWidth="14.44140625" defaultRowHeight="15" customHeight="1"/>
  <cols>
    <col min="1" max="1" width="45.33203125" style="204" customWidth="1"/>
    <col min="2" max="18" width="6.44140625" style="204" customWidth="1"/>
    <col min="19" max="256" width="14.44140625" style="204" customWidth="1"/>
  </cols>
  <sheetData>
    <row r="1" spans="1:18" ht="14.7" customHeight="1">
      <c r="A1" s="404" t="s">
        <v>108</v>
      </c>
      <c r="B1" s="405"/>
      <c r="C1" s="405"/>
      <c r="D1" s="405"/>
      <c r="E1" s="405"/>
      <c r="F1" s="405"/>
      <c r="G1" s="405"/>
      <c r="H1" s="405"/>
      <c r="I1" s="405"/>
      <c r="J1" s="405"/>
      <c r="K1" s="405"/>
      <c r="L1" s="405"/>
      <c r="M1" s="405"/>
      <c r="N1" s="405"/>
      <c r="O1" s="405"/>
      <c r="P1" s="405"/>
      <c r="Q1" s="405"/>
      <c r="R1" s="421"/>
    </row>
    <row r="2" spans="1:18" ht="19.5" customHeight="1">
      <c r="A2" s="419" t="s">
        <v>109</v>
      </c>
      <c r="B2" s="422" t="s">
        <v>110</v>
      </c>
      <c r="C2" s="417" t="s">
        <v>1</v>
      </c>
      <c r="D2" s="390"/>
      <c r="E2" s="390"/>
      <c r="F2" s="391"/>
      <c r="G2" s="418" t="s">
        <v>2</v>
      </c>
      <c r="H2" s="390"/>
      <c r="I2" s="390"/>
      <c r="J2" s="391"/>
      <c r="K2" s="417" t="s">
        <v>3</v>
      </c>
      <c r="L2" s="390"/>
      <c r="M2" s="390"/>
      <c r="N2" s="391"/>
      <c r="O2" s="418" t="s">
        <v>4</v>
      </c>
      <c r="P2" s="390"/>
      <c r="Q2" s="390"/>
      <c r="R2" s="391"/>
    </row>
    <row r="3" spans="1:18" ht="20.25" customHeight="1">
      <c r="A3" s="420"/>
      <c r="B3" s="420"/>
      <c r="C3" s="205" t="s">
        <v>5</v>
      </c>
      <c r="D3" s="205" t="s">
        <v>6</v>
      </c>
      <c r="E3" s="205" t="s">
        <v>7</v>
      </c>
      <c r="F3" s="205" t="s">
        <v>8</v>
      </c>
      <c r="G3" s="206" t="s">
        <v>5</v>
      </c>
      <c r="H3" s="206" t="s">
        <v>6</v>
      </c>
      <c r="I3" s="206" t="s">
        <v>7</v>
      </c>
      <c r="J3" s="206" t="s">
        <v>8</v>
      </c>
      <c r="K3" s="205" t="s">
        <v>5</v>
      </c>
      <c r="L3" s="205" t="s">
        <v>6</v>
      </c>
      <c r="M3" s="205" t="s">
        <v>7</v>
      </c>
      <c r="N3" s="205" t="s">
        <v>8</v>
      </c>
      <c r="O3" s="206" t="s">
        <v>5</v>
      </c>
      <c r="P3" s="206" t="s">
        <v>6</v>
      </c>
      <c r="Q3" s="206" t="s">
        <v>7</v>
      </c>
      <c r="R3" s="206" t="s">
        <v>8</v>
      </c>
    </row>
    <row r="4" spans="1:18" ht="20.25" customHeight="1">
      <c r="A4" s="207" t="s">
        <v>111</v>
      </c>
      <c r="B4" s="208">
        <f>'Revenue Projection'!C21</f>
        <v>0</v>
      </c>
      <c r="C4" s="209">
        <f>'Revenue Projection'!D21/100000</f>
        <v>0.05</v>
      </c>
      <c r="D4" s="209">
        <f>'Revenue Projection'!E21/100000</f>
        <v>0.05</v>
      </c>
      <c r="E4" s="209">
        <f>'Revenue Projection'!F21/100000</f>
        <v>0.05</v>
      </c>
      <c r="F4" s="209">
        <f>'Revenue Projection'!G21/100000</f>
        <v>0.05</v>
      </c>
      <c r="G4" s="210">
        <f>'Revenue Projection'!H21/100000</f>
        <v>0.05</v>
      </c>
      <c r="H4" s="210">
        <f>'Revenue Projection'!I21/100000</f>
        <v>0.05</v>
      </c>
      <c r="I4" s="210">
        <f>'Revenue Projection'!J21/100000</f>
        <v>0.05</v>
      </c>
      <c r="J4" s="210">
        <f>'Revenue Projection'!K21/100000</f>
        <v>0.05</v>
      </c>
      <c r="K4" s="209">
        <f>'Revenue Projection'!L21/100000</f>
        <v>0.05</v>
      </c>
      <c r="L4" s="209">
        <f>'Revenue Projection'!M21/100000</f>
        <v>0.05</v>
      </c>
      <c r="M4" s="209">
        <f>'Revenue Projection'!N21/100000</f>
        <v>0.05</v>
      </c>
      <c r="N4" s="209">
        <f>'Revenue Projection'!O21/100000</f>
        <v>0.05</v>
      </c>
      <c r="O4" s="211">
        <f>'Revenue Projection'!P21/100000</f>
        <v>0.05</v>
      </c>
      <c r="P4" s="211">
        <f>'Revenue Projection'!Q21/100000</f>
        <v>0.05</v>
      </c>
      <c r="Q4" s="211">
        <f>'Revenue Projection'!R21/100000</f>
        <v>0.05</v>
      </c>
      <c r="R4" s="211">
        <f>'Revenue Projection'!S21/100000</f>
        <v>0.05</v>
      </c>
    </row>
    <row r="5" spans="1:18" ht="19.5" customHeight="1">
      <c r="A5" s="212" t="s">
        <v>112</v>
      </c>
      <c r="B5" s="213">
        <f>'Revenue Projection'!C22</f>
        <v>0.5</v>
      </c>
      <c r="C5" s="116">
        <f>'Revenue Projection'!D22/100000</f>
        <v>0</v>
      </c>
      <c r="D5" s="116">
        <f>'Revenue Projection'!E22/100000</f>
        <v>1.35</v>
      </c>
      <c r="E5" s="116">
        <f>'Revenue Projection'!F22/100000</f>
        <v>2.7</v>
      </c>
      <c r="F5" s="116">
        <f>'Revenue Projection'!G22/100000</f>
        <v>14.4</v>
      </c>
      <c r="G5" s="214">
        <f>'Revenue Projection'!H22/100000</f>
        <v>45.9</v>
      </c>
      <c r="H5" s="214">
        <f>'Revenue Projection'!I22/100000</f>
        <v>131.4</v>
      </c>
      <c r="I5" s="214">
        <f>'Revenue Projection'!J22/100000</f>
        <v>279</v>
      </c>
      <c r="J5" s="214">
        <f>'Revenue Projection'!K22/100000</f>
        <v>504.9</v>
      </c>
      <c r="K5" s="116">
        <f>'Revenue Projection'!L22/100000</f>
        <v>825.3</v>
      </c>
      <c r="L5" s="116">
        <f>'Revenue Projection'!M22/100000</f>
        <v>1234.8</v>
      </c>
      <c r="M5" s="116">
        <f>'Revenue Projection'!N22/100000</f>
        <v>1526.4</v>
      </c>
      <c r="N5" s="116">
        <f>'Revenue Projection'!O22/100000</f>
        <v>1818</v>
      </c>
      <c r="O5" s="215">
        <f>'Revenue Projection'!P22/100000</f>
        <v>2109.6</v>
      </c>
      <c r="P5" s="215">
        <f>'Revenue Projection'!Q22/100000</f>
        <v>2401.1999999999998</v>
      </c>
      <c r="Q5" s="215">
        <f>'Revenue Projection'!R22/100000</f>
        <v>2692.8</v>
      </c>
      <c r="R5" s="215">
        <f>'Revenue Projection'!S22/100000</f>
        <v>2984.4</v>
      </c>
    </row>
    <row r="6" spans="1:18" ht="19.5" customHeight="1">
      <c r="A6" s="212" t="s">
        <v>113</v>
      </c>
      <c r="B6" s="213">
        <f>'Revenue Projection'!C23</f>
        <v>0.5</v>
      </c>
      <c r="C6" s="116">
        <f>'Revenue Projection'!D23/100000</f>
        <v>0</v>
      </c>
      <c r="D6" s="116">
        <f>'Revenue Projection'!E23/100000</f>
        <v>1.35</v>
      </c>
      <c r="E6" s="116">
        <f>'Revenue Projection'!F23/100000</f>
        <v>2.7</v>
      </c>
      <c r="F6" s="116">
        <f>'Revenue Projection'!G23/100000</f>
        <v>14.4</v>
      </c>
      <c r="G6" s="214">
        <f>'Revenue Projection'!H23/100000</f>
        <v>45.9</v>
      </c>
      <c r="H6" s="214">
        <f>'Revenue Projection'!I23/100000</f>
        <v>131.4</v>
      </c>
      <c r="I6" s="214">
        <f>'Revenue Projection'!J23/100000</f>
        <v>279</v>
      </c>
      <c r="J6" s="214">
        <f>'Revenue Projection'!K23/100000</f>
        <v>504.9</v>
      </c>
      <c r="K6" s="116">
        <f>'Revenue Projection'!L23/100000</f>
        <v>825.3</v>
      </c>
      <c r="L6" s="116">
        <f>'Revenue Projection'!M23/100000</f>
        <v>1234.8</v>
      </c>
      <c r="M6" s="116">
        <f>'Revenue Projection'!N23/100000</f>
        <v>1526.4</v>
      </c>
      <c r="N6" s="116">
        <f>'Revenue Projection'!O23/100000</f>
        <v>1818</v>
      </c>
      <c r="O6" s="215">
        <f>'Revenue Projection'!P23/100000</f>
        <v>2109.6</v>
      </c>
      <c r="P6" s="215">
        <f>'Revenue Projection'!Q23/100000</f>
        <v>2401.1999999999998</v>
      </c>
      <c r="Q6" s="215">
        <f>'Revenue Projection'!R23/100000</f>
        <v>2692.8</v>
      </c>
      <c r="R6" s="215">
        <f>'Revenue Projection'!S23/100000</f>
        <v>2984.4</v>
      </c>
    </row>
    <row r="7" spans="1:18" ht="19.5" customHeight="1">
      <c r="A7" s="212" t="s">
        <v>114</v>
      </c>
      <c r="B7" s="213">
        <f>'Revenue Projection'!C37</f>
        <v>0.9</v>
      </c>
      <c r="C7" s="116">
        <f>'Revenue Projection'!D37/100000</f>
        <v>0</v>
      </c>
      <c r="D7" s="116">
        <f>'Revenue Projection'!E37/100000</f>
        <v>6.5609999999999999</v>
      </c>
      <c r="E7" s="116">
        <f>'Revenue Projection'!F37/100000</f>
        <v>19.683</v>
      </c>
      <c r="F7" s="116">
        <f>'Revenue Projection'!G37/100000</f>
        <v>89.667000000000002</v>
      </c>
      <c r="G7" s="214">
        <f>'Revenue Projection'!H37/100000</f>
        <v>312.74099999999999</v>
      </c>
      <c r="H7" s="214">
        <f>'Revenue Projection'!I37/100000</f>
        <v>951.34500000000003</v>
      </c>
      <c r="I7" s="214">
        <f>'Revenue Projection'!J37/100000</f>
        <v>2307.2849999999999</v>
      </c>
      <c r="J7" s="214">
        <f>'Revenue Projection'!K37/100000</f>
        <v>4761.0990000000002</v>
      </c>
      <c r="K7" s="116">
        <f>'Revenue Projection'!L37/100000</f>
        <v>8772.0570000000007</v>
      </c>
      <c r="L7" s="116">
        <f>'Revenue Projection'!M37/100000</f>
        <v>14773.184999999999</v>
      </c>
      <c r="M7" s="116">
        <f>'Revenue Projection'!N37/100000</f>
        <v>22191.489000000001</v>
      </c>
      <c r="N7" s="116">
        <f>'Revenue Projection'!O37/100000</f>
        <v>31026.969000000001</v>
      </c>
      <c r="O7" s="215">
        <f>'Revenue Projection'!P37/100000</f>
        <v>41279.625</v>
      </c>
      <c r="P7" s="215">
        <f>'Revenue Projection'!Q37/100000</f>
        <v>52949.457000000002</v>
      </c>
      <c r="Q7" s="215">
        <f>'Revenue Projection'!R37/100000</f>
        <v>66036.464999999997</v>
      </c>
      <c r="R7" s="215">
        <f>'Revenue Projection'!S37/100000</f>
        <v>80540.649000000005</v>
      </c>
    </row>
    <row r="8" spans="1:18" ht="19.5" customHeight="1">
      <c r="A8" s="212" t="s">
        <v>115</v>
      </c>
      <c r="B8" s="213">
        <f>'Revenue Projection'!C38</f>
        <v>9.9999999999999978E-2</v>
      </c>
      <c r="C8" s="116">
        <f>'Revenue Projection'!D38/100000</f>
        <v>0</v>
      </c>
      <c r="D8" s="116">
        <f>'Revenue Projection'!E38/100000</f>
        <v>0.72899999999999987</v>
      </c>
      <c r="E8" s="116">
        <f>'Revenue Projection'!F38/100000</f>
        <v>2.1869999999999994</v>
      </c>
      <c r="F8" s="116">
        <f>'Revenue Projection'!G38/100000</f>
        <v>9.9629999999999974</v>
      </c>
      <c r="G8" s="214">
        <f>'Revenue Projection'!H38/100000</f>
        <v>34.748999999999988</v>
      </c>
      <c r="H8" s="214">
        <f>'Revenue Projection'!I38/100000</f>
        <v>105.70499999999998</v>
      </c>
      <c r="I8" s="214">
        <f>'Revenue Projection'!J38/100000</f>
        <v>256.36499999999995</v>
      </c>
      <c r="J8" s="214">
        <f>'Revenue Projection'!K38/100000</f>
        <v>529.01099999999985</v>
      </c>
      <c r="K8" s="116">
        <f>'Revenue Projection'!L38/100000</f>
        <v>974.67299999999989</v>
      </c>
      <c r="L8" s="116">
        <f>'Revenue Projection'!M38/100000</f>
        <v>1641.4649999999997</v>
      </c>
      <c r="M8" s="116">
        <f>'Revenue Projection'!N38/100000</f>
        <v>2465.7209999999995</v>
      </c>
      <c r="N8" s="116">
        <f>'Revenue Projection'!O38/100000</f>
        <v>3447.4409999999993</v>
      </c>
      <c r="O8" s="215">
        <f>'Revenue Projection'!P38/100000</f>
        <v>4586.6249999999991</v>
      </c>
      <c r="P8" s="215">
        <f>'Revenue Projection'!Q38/100000</f>
        <v>5883.2729999999992</v>
      </c>
      <c r="Q8" s="215">
        <f>'Revenue Projection'!R38/100000</f>
        <v>7337.3849999999984</v>
      </c>
      <c r="R8" s="215">
        <f>'Revenue Projection'!S38/100000</f>
        <v>8948.9609999999975</v>
      </c>
    </row>
    <row r="9" spans="1:18" ht="19.5" customHeight="1">
      <c r="A9" s="212" t="s">
        <v>116</v>
      </c>
      <c r="B9" s="216">
        <v>1</v>
      </c>
      <c r="C9" s="116">
        <f>'Revenue Projection'!D32/100000</f>
        <v>0</v>
      </c>
      <c r="D9" s="116">
        <f>'Revenue Projection'!E32/100000</f>
        <v>0</v>
      </c>
      <c r="E9" s="116">
        <f>'Revenue Projection'!F32/100000</f>
        <v>0</v>
      </c>
      <c r="F9" s="116">
        <f>'Revenue Projection'!G32/100000</f>
        <v>0</v>
      </c>
      <c r="G9" s="214">
        <f>'Revenue Projection'!H32/100000</f>
        <v>0</v>
      </c>
      <c r="H9" s="214">
        <f>'Revenue Projection'!I32/100000</f>
        <v>0</v>
      </c>
      <c r="I9" s="214">
        <f>'Revenue Projection'!J32/100000</f>
        <v>0</v>
      </c>
      <c r="J9" s="214">
        <f>'Revenue Projection'!K32/100000</f>
        <v>0</v>
      </c>
      <c r="K9" s="116">
        <f>'Revenue Projection'!L32/100000</f>
        <v>0</v>
      </c>
      <c r="L9" s="116">
        <f>'Revenue Projection'!M32/100000</f>
        <v>0</v>
      </c>
      <c r="M9" s="116">
        <f>'Revenue Projection'!N32/100000</f>
        <v>0</v>
      </c>
      <c r="N9" s="116">
        <f>'Revenue Projection'!O32/100000</f>
        <v>0</v>
      </c>
      <c r="O9" s="215">
        <f>'Revenue Projection'!P32/100000</f>
        <v>0</v>
      </c>
      <c r="P9" s="215">
        <f>'Revenue Projection'!Q32/100000</f>
        <v>0</v>
      </c>
      <c r="Q9" s="215">
        <f>'Revenue Projection'!R32/100000</f>
        <v>0</v>
      </c>
      <c r="R9" s="215">
        <f>'Revenue Projection'!S32/100000</f>
        <v>0</v>
      </c>
    </row>
    <row r="10" spans="1:18" ht="19.5" customHeight="1">
      <c r="A10" s="212" t="s">
        <v>117</v>
      </c>
      <c r="B10" s="216">
        <v>0</v>
      </c>
      <c r="C10" s="116">
        <f t="shared" ref="C10:R10" si="0">0</f>
        <v>0</v>
      </c>
      <c r="D10" s="116">
        <f t="shared" si="0"/>
        <v>0</v>
      </c>
      <c r="E10" s="116">
        <f t="shared" si="0"/>
        <v>0</v>
      </c>
      <c r="F10" s="116">
        <f t="shared" si="0"/>
        <v>0</v>
      </c>
      <c r="G10" s="214">
        <f t="shared" si="0"/>
        <v>0</v>
      </c>
      <c r="H10" s="214">
        <f t="shared" si="0"/>
        <v>0</v>
      </c>
      <c r="I10" s="214">
        <f t="shared" si="0"/>
        <v>0</v>
      </c>
      <c r="J10" s="214">
        <f t="shared" si="0"/>
        <v>0</v>
      </c>
      <c r="K10" s="116">
        <f t="shared" si="0"/>
        <v>0</v>
      </c>
      <c r="L10" s="116">
        <f t="shared" si="0"/>
        <v>0</v>
      </c>
      <c r="M10" s="116">
        <f t="shared" si="0"/>
        <v>0</v>
      </c>
      <c r="N10" s="116">
        <f t="shared" si="0"/>
        <v>0</v>
      </c>
      <c r="O10" s="215">
        <f t="shared" si="0"/>
        <v>0</v>
      </c>
      <c r="P10" s="215">
        <f t="shared" si="0"/>
        <v>0</v>
      </c>
      <c r="Q10" s="215">
        <f t="shared" si="0"/>
        <v>0</v>
      </c>
      <c r="R10" s="215">
        <f t="shared" si="0"/>
        <v>0</v>
      </c>
    </row>
    <row r="11" spans="1:18" ht="19.5" customHeight="1">
      <c r="A11" s="212" t="s">
        <v>118</v>
      </c>
      <c r="B11" s="213">
        <v>0.5</v>
      </c>
      <c r="C11" s="116">
        <f>'Revenue Projection'!D42/100000</f>
        <v>0</v>
      </c>
      <c r="D11" s="116">
        <f>'Revenue Projection'!E42/100000</f>
        <v>0.60750000000000004</v>
      </c>
      <c r="E11" s="116">
        <f>'Revenue Projection'!F42/100000</f>
        <v>1.8225</v>
      </c>
      <c r="F11" s="116">
        <f>'Revenue Projection'!G42/100000</f>
        <v>8.3025000000000002</v>
      </c>
      <c r="G11" s="214">
        <f>'Revenue Projection'!H42/100000</f>
        <v>28.9575</v>
      </c>
      <c r="H11" s="214">
        <f>'Revenue Projection'!I42/100000</f>
        <v>88.087500000000006</v>
      </c>
      <c r="I11" s="214">
        <f>'Revenue Projection'!J42/100000</f>
        <v>213.63749999999999</v>
      </c>
      <c r="J11" s="214">
        <f>'Revenue Projection'!K42/100000</f>
        <v>440.84249999999997</v>
      </c>
      <c r="K11" s="116">
        <f>'Revenue Projection'!L42/100000</f>
        <v>812.22749999999996</v>
      </c>
      <c r="L11" s="116">
        <f>'Revenue Projection'!M42/100000</f>
        <v>1367.8875</v>
      </c>
      <c r="M11" s="116">
        <f>'Revenue Projection'!N42/100000</f>
        <v>2054.7674999999999</v>
      </c>
      <c r="N11" s="116">
        <f>'Revenue Projection'!O42/100000</f>
        <v>2872.8674999999998</v>
      </c>
      <c r="O11" s="215">
        <f>'Revenue Projection'!P42/100000</f>
        <v>3822.1875</v>
      </c>
      <c r="P11" s="215">
        <f>'Revenue Projection'!Q42/100000</f>
        <v>4902.7275</v>
      </c>
      <c r="Q11" s="215">
        <f>'Revenue Projection'!R42/100000</f>
        <v>6114.4875000000002</v>
      </c>
      <c r="R11" s="215">
        <f>'Revenue Projection'!S42/100000</f>
        <v>7457.4674999999997</v>
      </c>
    </row>
    <row r="12" spans="1:18" ht="19.5" customHeight="1">
      <c r="A12" s="212" t="s">
        <v>119</v>
      </c>
      <c r="B12" s="213">
        <v>0.5</v>
      </c>
      <c r="C12" s="116">
        <f>'Revenue Projection'!D43/100000</f>
        <v>0</v>
      </c>
      <c r="D12" s="116">
        <f>'Revenue Projection'!E43/100000</f>
        <v>0.60750000000000004</v>
      </c>
      <c r="E12" s="116">
        <f>'Revenue Projection'!F43/100000</f>
        <v>1.8225</v>
      </c>
      <c r="F12" s="116">
        <f>'Revenue Projection'!G43/100000</f>
        <v>8.3025000000000002</v>
      </c>
      <c r="G12" s="214">
        <f>'Revenue Projection'!H43/100000</f>
        <v>28.9575</v>
      </c>
      <c r="H12" s="214">
        <f>'Revenue Projection'!I43/100000</f>
        <v>88.087500000000006</v>
      </c>
      <c r="I12" s="214">
        <f>'Revenue Projection'!J43/100000</f>
        <v>213.63749999999999</v>
      </c>
      <c r="J12" s="214">
        <f>'Revenue Projection'!K43/100000</f>
        <v>440.84249999999997</v>
      </c>
      <c r="K12" s="116">
        <f>'Revenue Projection'!L43/100000</f>
        <v>812.22749999999996</v>
      </c>
      <c r="L12" s="116">
        <f>'Revenue Projection'!M43/100000</f>
        <v>1367.8875</v>
      </c>
      <c r="M12" s="116">
        <f>'Revenue Projection'!N43/100000</f>
        <v>2054.7674999999999</v>
      </c>
      <c r="N12" s="116">
        <f>'Revenue Projection'!O43/100000</f>
        <v>2872.8674999999998</v>
      </c>
      <c r="O12" s="215">
        <f>'Revenue Projection'!P43/100000</f>
        <v>3822.1875</v>
      </c>
      <c r="P12" s="215">
        <f>'Revenue Projection'!Q43/100000</f>
        <v>4902.7275</v>
      </c>
      <c r="Q12" s="215">
        <f>'Revenue Projection'!R43/100000</f>
        <v>6114.4875000000002</v>
      </c>
      <c r="R12" s="215">
        <f>'Revenue Projection'!S43/100000</f>
        <v>7457.4674999999997</v>
      </c>
    </row>
    <row r="13" spans="1:18" ht="19.5" customHeight="1">
      <c r="A13" s="212" t="s">
        <v>120</v>
      </c>
      <c r="B13" s="213">
        <f>'Revenue Projection'!C61</f>
        <v>0.2</v>
      </c>
      <c r="C13" s="116">
        <f>'Revenue Projection'!D61/100000</f>
        <v>0</v>
      </c>
      <c r="D13" s="116">
        <f>'Revenue Projection'!E61/100000</f>
        <v>0</v>
      </c>
      <c r="E13" s="116">
        <f>'Revenue Projection'!F61/100000</f>
        <v>2.4299999999999999E-2</v>
      </c>
      <c r="F13" s="116">
        <f>'Revenue Projection'!G61/100000</f>
        <v>0.22140000000000001</v>
      </c>
      <c r="G13" s="214">
        <f>'Revenue Projection'!H61/100000</f>
        <v>1.5444</v>
      </c>
      <c r="H13" s="214">
        <f>'Revenue Projection'!I61/100000</f>
        <v>7.0469999999999997</v>
      </c>
      <c r="I13" s="214">
        <f>'Revenue Projection'!J61/100000</f>
        <v>22.788</v>
      </c>
      <c r="J13" s="214">
        <f>'Revenue Projection'!K61/100000</f>
        <v>58.779000000000003</v>
      </c>
      <c r="K13" s="116">
        <f>'Revenue Projection'!L61/100000</f>
        <v>108.297</v>
      </c>
      <c r="L13" s="116">
        <f>'Revenue Projection'!M61/100000</f>
        <v>182.38499999999999</v>
      </c>
      <c r="M13" s="116">
        <f>'Revenue Projection'!N61/100000</f>
        <v>273.96899999999999</v>
      </c>
      <c r="N13" s="116">
        <f>'Revenue Projection'!O61/100000</f>
        <v>383.04899999999998</v>
      </c>
      <c r="O13" s="215">
        <f>'Revenue Projection'!P61/100000</f>
        <v>509.625</v>
      </c>
      <c r="P13" s="215">
        <f>'Revenue Projection'!Q61/100000</f>
        <v>653.697</v>
      </c>
      <c r="Q13" s="215">
        <f>'Revenue Projection'!R61/100000</f>
        <v>815.26499999999999</v>
      </c>
      <c r="R13" s="215">
        <f>'Revenue Projection'!S61/100000</f>
        <v>994.32899999999995</v>
      </c>
    </row>
    <row r="14" spans="1:18" ht="19.5" customHeight="1">
      <c r="A14" s="212" t="s">
        <v>121</v>
      </c>
      <c r="B14" s="213">
        <f>'Revenue Projection'!C62</f>
        <v>0.8</v>
      </c>
      <c r="C14" s="116">
        <f>'Revenue Projection'!D62/100000</f>
        <v>0</v>
      </c>
      <c r="D14" s="116">
        <f>'Revenue Projection'!E62/100000</f>
        <v>0</v>
      </c>
      <c r="E14" s="116">
        <f>'Revenue Projection'!F62/100000</f>
        <v>9.7199999999999995E-2</v>
      </c>
      <c r="F14" s="116">
        <f>'Revenue Projection'!G62/100000</f>
        <v>0.88560000000000005</v>
      </c>
      <c r="G14" s="214">
        <f>'Revenue Projection'!H62/100000</f>
        <v>6.1776</v>
      </c>
      <c r="H14" s="214">
        <f>'Revenue Projection'!I62/100000</f>
        <v>28.187999999999999</v>
      </c>
      <c r="I14" s="214">
        <f>'Revenue Projection'!J62/100000</f>
        <v>91.152000000000001</v>
      </c>
      <c r="J14" s="214">
        <f>'Revenue Projection'!K62/100000</f>
        <v>235.11600000000001</v>
      </c>
      <c r="K14" s="116">
        <f>'Revenue Projection'!L62/100000</f>
        <v>433.18799999999999</v>
      </c>
      <c r="L14" s="116">
        <f>'Revenue Projection'!M62/100000</f>
        <v>729.54</v>
      </c>
      <c r="M14" s="116">
        <f>'Revenue Projection'!N62/100000</f>
        <v>1095.876</v>
      </c>
      <c r="N14" s="116">
        <f>'Revenue Projection'!O62/100000</f>
        <v>1532.1959999999999</v>
      </c>
      <c r="O14" s="215">
        <f>'Revenue Projection'!P62/100000</f>
        <v>2038.5</v>
      </c>
      <c r="P14" s="215">
        <f>'Revenue Projection'!Q62/100000</f>
        <v>2614.788</v>
      </c>
      <c r="Q14" s="215">
        <f>'Revenue Projection'!R62/100000</f>
        <v>3261.06</v>
      </c>
      <c r="R14" s="215">
        <f>'Revenue Projection'!S62/100000</f>
        <v>3977.3159999999998</v>
      </c>
    </row>
    <row r="15" spans="1:18" ht="19.5" customHeight="1">
      <c r="A15" s="212" t="s">
        <v>122</v>
      </c>
      <c r="B15" s="213">
        <f>'Revenue Projection'!C63</f>
        <v>0.2</v>
      </c>
      <c r="C15" s="116">
        <f>'Revenue Projection'!D63/100000</f>
        <v>0</v>
      </c>
      <c r="D15" s="116">
        <f>'Revenue Projection'!E63/100000</f>
        <v>0</v>
      </c>
      <c r="E15" s="116">
        <f>'Revenue Projection'!F63/100000</f>
        <v>4.8599999999999997E-2</v>
      </c>
      <c r="F15" s="116">
        <f>'Revenue Projection'!G63/100000</f>
        <v>0.44280000000000003</v>
      </c>
      <c r="G15" s="214">
        <f>'Revenue Projection'!H63/100000</f>
        <v>3.0888</v>
      </c>
      <c r="H15" s="214">
        <f>'Revenue Projection'!I63/100000</f>
        <v>14.093999999999999</v>
      </c>
      <c r="I15" s="214">
        <f>'Revenue Projection'!J63/100000</f>
        <v>45.576000000000001</v>
      </c>
      <c r="J15" s="214">
        <f>'Revenue Projection'!K63/100000</f>
        <v>117.55800000000001</v>
      </c>
      <c r="K15" s="116">
        <f>'Revenue Projection'!L63/100000</f>
        <v>216.59399999999999</v>
      </c>
      <c r="L15" s="116">
        <f>'Revenue Projection'!M63/100000</f>
        <v>364.77</v>
      </c>
      <c r="M15" s="116">
        <f>'Revenue Projection'!N63/100000</f>
        <v>547.93799999999999</v>
      </c>
      <c r="N15" s="116">
        <f>'Revenue Projection'!O63/100000</f>
        <v>766.09799999999996</v>
      </c>
      <c r="O15" s="215">
        <f>'Revenue Projection'!P63/100000</f>
        <v>1019.25</v>
      </c>
      <c r="P15" s="215">
        <f>'Revenue Projection'!Q63/100000</f>
        <v>1307.394</v>
      </c>
      <c r="Q15" s="215">
        <f>'Revenue Projection'!R63/100000</f>
        <v>1630.53</v>
      </c>
      <c r="R15" s="215">
        <f>'Revenue Projection'!S63/100000</f>
        <v>1988.6579999999999</v>
      </c>
    </row>
    <row r="16" spans="1:18" ht="19.5" customHeight="1">
      <c r="A16" s="212" t="s">
        <v>123</v>
      </c>
      <c r="B16" s="213">
        <f>'Revenue Projection'!C64</f>
        <v>0.8</v>
      </c>
      <c r="C16" s="116">
        <f>'Revenue Projection'!D64/100000</f>
        <v>0</v>
      </c>
      <c r="D16" s="116">
        <f>'Revenue Projection'!E64/100000</f>
        <v>0</v>
      </c>
      <c r="E16" s="116">
        <f>'Revenue Projection'!F64/100000</f>
        <v>6.4799999999999996E-2</v>
      </c>
      <c r="F16" s="116">
        <f>'Revenue Projection'!G64/100000</f>
        <v>0.59040000000000004</v>
      </c>
      <c r="G16" s="214">
        <f>'Revenue Projection'!H64/100000</f>
        <v>4.1184000000000003</v>
      </c>
      <c r="H16" s="214">
        <f>'Revenue Projection'!I64/100000</f>
        <v>18.792000000000002</v>
      </c>
      <c r="I16" s="214">
        <f>'Revenue Projection'!J64/100000</f>
        <v>60.768000000000001</v>
      </c>
      <c r="J16" s="214">
        <f>'Revenue Projection'!K64/100000</f>
        <v>156.744</v>
      </c>
      <c r="K16" s="116">
        <f>'Revenue Projection'!L64/100000</f>
        <v>288.79199999999997</v>
      </c>
      <c r="L16" s="116">
        <f>'Revenue Projection'!M64/100000</f>
        <v>486.36</v>
      </c>
      <c r="M16" s="116">
        <f>'Revenue Projection'!N64/100000</f>
        <v>730.58399999999995</v>
      </c>
      <c r="N16" s="116">
        <f>'Revenue Projection'!O64/100000</f>
        <v>1021.4640000000001</v>
      </c>
      <c r="O16" s="215">
        <f>'Revenue Projection'!P64/100000</f>
        <v>1359</v>
      </c>
      <c r="P16" s="215">
        <f>'Revenue Projection'!Q64/100000</f>
        <v>1743.192</v>
      </c>
      <c r="Q16" s="215">
        <f>'Revenue Projection'!R64/100000</f>
        <v>2174.04</v>
      </c>
      <c r="R16" s="215">
        <f>'Revenue Projection'!S64/100000</f>
        <v>2651.5439999999999</v>
      </c>
    </row>
    <row r="17" spans="1:18" ht="19.5" customHeight="1">
      <c r="A17" s="212" t="s">
        <v>124</v>
      </c>
      <c r="B17" s="105"/>
      <c r="C17" s="116">
        <f t="shared" ref="C17:R17" si="1">C5+C7+C9+C11+C13+C15</f>
        <v>0</v>
      </c>
      <c r="D17" s="116">
        <f t="shared" si="1"/>
        <v>8.5184999999999995</v>
      </c>
      <c r="E17" s="116">
        <f t="shared" si="1"/>
        <v>24.278400000000001</v>
      </c>
      <c r="F17" s="116">
        <f t="shared" si="1"/>
        <v>113.03370000000001</v>
      </c>
      <c r="G17" s="214">
        <f t="shared" si="1"/>
        <v>392.23169999999993</v>
      </c>
      <c r="H17" s="214">
        <f t="shared" si="1"/>
        <v>1191.9735000000003</v>
      </c>
      <c r="I17" s="214">
        <f t="shared" si="1"/>
        <v>2868.2864999999997</v>
      </c>
      <c r="J17" s="214">
        <f t="shared" si="1"/>
        <v>5883.1785</v>
      </c>
      <c r="K17" s="116">
        <f t="shared" si="1"/>
        <v>10734.4755</v>
      </c>
      <c r="L17" s="116">
        <f t="shared" si="1"/>
        <v>17923.027499999997</v>
      </c>
      <c r="M17" s="116">
        <f t="shared" si="1"/>
        <v>26594.563500000004</v>
      </c>
      <c r="N17" s="116">
        <f t="shared" si="1"/>
        <v>36866.983499999995</v>
      </c>
      <c r="O17" s="215">
        <f t="shared" si="1"/>
        <v>48740.287499999999</v>
      </c>
      <c r="P17" s="215">
        <f t="shared" si="1"/>
        <v>62214.4755</v>
      </c>
      <c r="Q17" s="215">
        <f t="shared" si="1"/>
        <v>77289.547500000001</v>
      </c>
      <c r="R17" s="215">
        <f t="shared" si="1"/>
        <v>93965.503499999992</v>
      </c>
    </row>
    <row r="18" spans="1:18" ht="19.5" customHeight="1">
      <c r="A18" s="212" t="s">
        <v>125</v>
      </c>
      <c r="B18" s="105"/>
      <c r="C18" s="116">
        <f t="shared" ref="C18:R18" si="2">C6+C8+C10+C12+C14+C16</f>
        <v>0</v>
      </c>
      <c r="D18" s="116">
        <f t="shared" si="2"/>
        <v>2.6864999999999997</v>
      </c>
      <c r="E18" s="116">
        <f t="shared" si="2"/>
        <v>6.8714999999999993</v>
      </c>
      <c r="F18" s="116">
        <f t="shared" si="2"/>
        <v>34.141500000000001</v>
      </c>
      <c r="G18" s="214">
        <f t="shared" si="2"/>
        <v>119.90249999999997</v>
      </c>
      <c r="H18" s="214">
        <f t="shared" si="2"/>
        <v>372.17250000000001</v>
      </c>
      <c r="I18" s="214">
        <f t="shared" si="2"/>
        <v>900.92250000000013</v>
      </c>
      <c r="J18" s="214">
        <f t="shared" si="2"/>
        <v>1866.6134999999997</v>
      </c>
      <c r="K18" s="116">
        <f t="shared" si="2"/>
        <v>3334.1804999999999</v>
      </c>
      <c r="L18" s="116">
        <f t="shared" si="2"/>
        <v>5460.0524999999989</v>
      </c>
      <c r="M18" s="116">
        <f t="shared" si="2"/>
        <v>7873.3484999999991</v>
      </c>
      <c r="N18" s="116">
        <f t="shared" si="2"/>
        <v>10691.968499999999</v>
      </c>
      <c r="O18" s="215">
        <f t="shared" si="2"/>
        <v>13915.912499999999</v>
      </c>
      <c r="P18" s="215">
        <f t="shared" si="2"/>
        <v>17545.180499999999</v>
      </c>
      <c r="Q18" s="215">
        <f t="shared" si="2"/>
        <v>21579.772499999999</v>
      </c>
      <c r="R18" s="215">
        <f t="shared" si="2"/>
        <v>26019.688499999997</v>
      </c>
    </row>
    <row r="19" spans="1:18" ht="19.5" customHeight="1">
      <c r="A19" s="212" t="s">
        <v>126</v>
      </c>
      <c r="B19" s="105"/>
      <c r="C19" s="217" t="s">
        <v>127</v>
      </c>
      <c r="D19" s="218">
        <f t="shared" ref="D19:R19" si="3">D17/D18</f>
        <v>3.170854271356784</v>
      </c>
      <c r="E19" s="218">
        <f t="shared" si="3"/>
        <v>3.5332023575638511</v>
      </c>
      <c r="F19" s="218">
        <f t="shared" si="3"/>
        <v>3.3107420587847636</v>
      </c>
      <c r="G19" s="219">
        <f t="shared" si="3"/>
        <v>3.2712553950084446</v>
      </c>
      <c r="H19" s="219">
        <f t="shared" si="3"/>
        <v>3.2027446950003031</v>
      </c>
      <c r="I19" s="219">
        <f t="shared" si="3"/>
        <v>3.1837216852725949</v>
      </c>
      <c r="J19" s="219">
        <f t="shared" si="3"/>
        <v>3.1517925376624571</v>
      </c>
      <c r="K19" s="218">
        <f t="shared" si="3"/>
        <v>3.2195244078717398</v>
      </c>
      <c r="L19" s="218">
        <f t="shared" si="3"/>
        <v>3.2825742060172498</v>
      </c>
      <c r="M19" s="218">
        <f t="shared" si="3"/>
        <v>3.3777958006050421</v>
      </c>
      <c r="N19" s="218">
        <f t="shared" si="3"/>
        <v>3.4481006467611643</v>
      </c>
      <c r="O19" s="220">
        <f t="shared" si="3"/>
        <v>3.5024859131587673</v>
      </c>
      <c r="P19" s="220">
        <f t="shared" si="3"/>
        <v>3.5459581336310566</v>
      </c>
      <c r="Q19" s="220">
        <f t="shared" si="3"/>
        <v>3.5815737862852819</v>
      </c>
      <c r="R19" s="220">
        <f t="shared" si="3"/>
        <v>3.6113231524658724</v>
      </c>
    </row>
  </sheetData>
  <mergeCells count="7">
    <mergeCell ref="C2:F2"/>
    <mergeCell ref="O2:R2"/>
    <mergeCell ref="A2:A3"/>
    <mergeCell ref="K2:N2"/>
    <mergeCell ref="A1:R1"/>
    <mergeCell ref="B2:B3"/>
    <mergeCell ref="G2:J2"/>
  </mergeCells>
  <printOptions horizontalCentered="1"/>
  <pageMargins left="0.40944900000000001" right="0.40944900000000001" top="1.5748" bottom="1" header="0" footer="0"/>
  <pageSetup paperSize="9" scale="82" orientation="landscape" r:id="rId1"/>
  <headerFooter>
    <oddFooter>&amp;C&amp;"Helvetica Neue,Regular"&amp;10&amp;K000000000000&amp;P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election activeCell="G17" sqref="G17"/>
    </sheetView>
  </sheetViews>
  <sheetFormatPr defaultColWidth="14.44140625" defaultRowHeight="15" customHeight="1"/>
  <cols>
    <col min="1" max="1" width="43.21875" style="221" customWidth="1"/>
    <col min="2" max="2" width="22.88671875" style="221" customWidth="1"/>
    <col min="3" max="3" width="12.44140625" style="221" customWidth="1"/>
    <col min="4" max="7" width="7.5546875" style="221" customWidth="1"/>
    <col min="8" max="19" width="9.109375" style="221" customWidth="1"/>
    <col min="20" max="256" width="14.44140625" style="221" customWidth="1"/>
  </cols>
  <sheetData>
    <row r="1" spans="1:19" ht="27" customHeight="1">
      <c r="A1" s="383" t="s">
        <v>128</v>
      </c>
      <c r="B1" s="384"/>
      <c r="C1" s="384"/>
      <c r="D1" s="384"/>
      <c r="E1" s="384"/>
      <c r="F1" s="384"/>
      <c r="G1" s="384"/>
      <c r="H1" s="384"/>
      <c r="I1" s="384"/>
      <c r="J1" s="384"/>
      <c r="K1" s="384"/>
      <c r="L1" s="384"/>
      <c r="M1" s="384"/>
      <c r="N1" s="384"/>
      <c r="O1" s="384"/>
      <c r="P1" s="384"/>
      <c r="Q1" s="384"/>
      <c r="R1" s="384"/>
      <c r="S1" s="386"/>
    </row>
    <row r="2" spans="1:19" ht="19.5" customHeight="1">
      <c r="A2" s="88"/>
      <c r="B2" s="88"/>
      <c r="C2" s="222"/>
      <c r="D2" s="423" t="s">
        <v>1</v>
      </c>
      <c r="E2" s="390"/>
      <c r="F2" s="390"/>
      <c r="G2" s="391"/>
      <c r="H2" s="423" t="s">
        <v>2</v>
      </c>
      <c r="I2" s="390"/>
      <c r="J2" s="390"/>
      <c r="K2" s="391"/>
      <c r="L2" s="423" t="s">
        <v>3</v>
      </c>
      <c r="M2" s="390"/>
      <c r="N2" s="390"/>
      <c r="O2" s="391"/>
      <c r="P2" s="423" t="s">
        <v>4</v>
      </c>
      <c r="Q2" s="390"/>
      <c r="R2" s="390"/>
      <c r="S2" s="391"/>
    </row>
    <row r="3" spans="1:19" ht="19.5" customHeight="1">
      <c r="A3" s="88"/>
      <c r="B3" s="88"/>
      <c r="C3" s="222"/>
      <c r="D3" s="223" t="s">
        <v>5</v>
      </c>
      <c r="E3" s="223" t="s">
        <v>6</v>
      </c>
      <c r="F3" s="223" t="s">
        <v>7</v>
      </c>
      <c r="G3" s="223" t="s">
        <v>8</v>
      </c>
      <c r="H3" s="223" t="s">
        <v>5</v>
      </c>
      <c r="I3" s="223" t="s">
        <v>6</v>
      </c>
      <c r="J3" s="223" t="s">
        <v>7</v>
      </c>
      <c r="K3" s="223" t="s">
        <v>8</v>
      </c>
      <c r="L3" s="223" t="s">
        <v>5</v>
      </c>
      <c r="M3" s="223" t="s">
        <v>6</v>
      </c>
      <c r="N3" s="223" t="s">
        <v>7</v>
      </c>
      <c r="O3" s="223" t="s">
        <v>8</v>
      </c>
      <c r="P3" s="223" t="s">
        <v>5</v>
      </c>
      <c r="Q3" s="223" t="s">
        <v>6</v>
      </c>
      <c r="R3" s="223" t="s">
        <v>7</v>
      </c>
      <c r="S3" s="223" t="s">
        <v>8</v>
      </c>
    </row>
    <row r="4" spans="1:19" ht="20.25" customHeight="1">
      <c r="A4" s="224"/>
      <c r="B4" s="224"/>
      <c r="C4" s="224"/>
      <c r="D4" s="224"/>
      <c r="E4" s="224"/>
      <c r="F4" s="224"/>
      <c r="G4" s="224"/>
      <c r="H4" s="224"/>
      <c r="I4" s="224"/>
      <c r="J4" s="224"/>
      <c r="K4" s="224"/>
      <c r="L4" s="224"/>
      <c r="M4" s="224"/>
      <c r="N4" s="224"/>
      <c r="O4" s="224"/>
      <c r="P4" s="224"/>
      <c r="Q4" s="224"/>
      <c r="R4" s="224"/>
      <c r="S4" s="224"/>
    </row>
    <row r="5" spans="1:19" ht="20.25" customHeight="1">
      <c r="A5" s="95" t="s">
        <v>129</v>
      </c>
      <c r="B5" s="225"/>
      <c r="C5" s="226"/>
      <c r="D5" s="227">
        <v>10</v>
      </c>
      <c r="E5" s="227">
        <v>10</v>
      </c>
      <c r="F5" s="227">
        <v>10</v>
      </c>
      <c r="G5" s="227">
        <v>10</v>
      </c>
      <c r="H5" s="227">
        <v>10</v>
      </c>
      <c r="I5" s="227">
        <v>10</v>
      </c>
      <c r="J5" s="227">
        <v>10</v>
      </c>
      <c r="K5" s="227">
        <v>10</v>
      </c>
      <c r="L5" s="227">
        <v>10</v>
      </c>
      <c r="M5" s="227">
        <v>10</v>
      </c>
      <c r="N5" s="227">
        <v>10</v>
      </c>
      <c r="O5" s="227">
        <v>10</v>
      </c>
      <c r="P5" s="227">
        <v>10</v>
      </c>
      <c r="Q5" s="227">
        <v>10</v>
      </c>
      <c r="R5" s="227">
        <v>10</v>
      </c>
      <c r="S5" s="227">
        <v>10</v>
      </c>
    </row>
    <row r="6" spans="1:19" ht="19.5" customHeight="1">
      <c r="A6" s="104" t="s">
        <v>130</v>
      </c>
      <c r="B6" s="228" t="s">
        <v>131</v>
      </c>
      <c r="C6" s="229"/>
      <c r="D6" s="230">
        <v>0</v>
      </c>
      <c r="E6" s="230">
        <v>0</v>
      </c>
      <c r="F6" s="230">
        <v>500</v>
      </c>
      <c r="G6" s="230">
        <v>500</v>
      </c>
      <c r="H6" s="230">
        <v>1000</v>
      </c>
      <c r="I6" s="230">
        <v>1000</v>
      </c>
      <c r="J6" s="230">
        <v>1000</v>
      </c>
      <c r="K6" s="230">
        <v>1000</v>
      </c>
      <c r="L6" s="230">
        <v>1000</v>
      </c>
      <c r="M6" s="230">
        <v>1000</v>
      </c>
      <c r="N6" s="230">
        <v>1000</v>
      </c>
      <c r="O6" s="230">
        <v>1000</v>
      </c>
      <c r="P6" s="230">
        <v>1000</v>
      </c>
      <c r="Q6" s="230">
        <v>1000</v>
      </c>
      <c r="R6" s="230">
        <v>1000</v>
      </c>
      <c r="S6" s="230">
        <v>1000</v>
      </c>
    </row>
    <row r="7" spans="1:19" ht="19.5" customHeight="1">
      <c r="A7" s="104" t="s">
        <v>132</v>
      </c>
      <c r="B7" s="231"/>
      <c r="C7" s="229"/>
      <c r="D7" s="230">
        <v>100</v>
      </c>
      <c r="E7" s="230">
        <v>100</v>
      </c>
      <c r="F7" s="230">
        <v>100</v>
      </c>
      <c r="G7" s="230">
        <v>100</v>
      </c>
      <c r="H7" s="230">
        <v>100</v>
      </c>
      <c r="I7" s="230">
        <v>100</v>
      </c>
      <c r="J7" s="230">
        <v>100</v>
      </c>
      <c r="K7" s="230">
        <v>100</v>
      </c>
      <c r="L7" s="230">
        <v>100</v>
      </c>
      <c r="M7" s="230">
        <v>100</v>
      </c>
      <c r="N7" s="230">
        <v>100</v>
      </c>
      <c r="O7" s="230">
        <v>100</v>
      </c>
      <c r="P7" s="230">
        <v>100</v>
      </c>
      <c r="Q7" s="230">
        <v>100</v>
      </c>
      <c r="R7" s="230">
        <v>100</v>
      </c>
      <c r="S7" s="230">
        <v>100</v>
      </c>
    </row>
    <row r="8" spans="1:19" ht="19.5" customHeight="1">
      <c r="A8" s="104" t="s">
        <v>133</v>
      </c>
      <c r="B8" s="231"/>
      <c r="C8" s="229"/>
      <c r="D8" s="230">
        <f t="shared" ref="D8:S8" si="0">D5*D6*D7</f>
        <v>0</v>
      </c>
      <c r="E8" s="230">
        <f t="shared" si="0"/>
        <v>0</v>
      </c>
      <c r="F8" s="230">
        <f t="shared" si="0"/>
        <v>500000</v>
      </c>
      <c r="G8" s="230">
        <f t="shared" si="0"/>
        <v>500000</v>
      </c>
      <c r="H8" s="230">
        <f t="shared" si="0"/>
        <v>1000000</v>
      </c>
      <c r="I8" s="230">
        <f t="shared" si="0"/>
        <v>1000000</v>
      </c>
      <c r="J8" s="230">
        <f t="shared" si="0"/>
        <v>1000000</v>
      </c>
      <c r="K8" s="230">
        <f t="shared" si="0"/>
        <v>1000000</v>
      </c>
      <c r="L8" s="230">
        <f t="shared" si="0"/>
        <v>1000000</v>
      </c>
      <c r="M8" s="230">
        <f t="shared" si="0"/>
        <v>1000000</v>
      </c>
      <c r="N8" s="230">
        <f t="shared" si="0"/>
        <v>1000000</v>
      </c>
      <c r="O8" s="230">
        <f t="shared" si="0"/>
        <v>1000000</v>
      </c>
      <c r="P8" s="230">
        <f t="shared" si="0"/>
        <v>1000000</v>
      </c>
      <c r="Q8" s="230">
        <f t="shared" si="0"/>
        <v>1000000</v>
      </c>
      <c r="R8" s="230">
        <f t="shared" si="0"/>
        <v>1000000</v>
      </c>
      <c r="S8" s="230">
        <f t="shared" si="0"/>
        <v>1000000</v>
      </c>
    </row>
    <row r="9" spans="1:19" ht="19.5" customHeight="1">
      <c r="A9" s="104" t="s">
        <v>134</v>
      </c>
      <c r="B9" s="231"/>
      <c r="C9" s="229"/>
      <c r="D9" s="230">
        <v>5</v>
      </c>
      <c r="E9" s="230">
        <v>5</v>
      </c>
      <c r="F9" s="230">
        <v>5</v>
      </c>
      <c r="G9" s="230">
        <v>5</v>
      </c>
      <c r="H9" s="230">
        <v>5</v>
      </c>
      <c r="I9" s="230">
        <v>5</v>
      </c>
      <c r="J9" s="230">
        <v>5</v>
      </c>
      <c r="K9" s="230">
        <v>5</v>
      </c>
      <c r="L9" s="230">
        <v>5</v>
      </c>
      <c r="M9" s="230">
        <v>5</v>
      </c>
      <c r="N9" s="230">
        <v>5</v>
      </c>
      <c r="O9" s="230">
        <v>5</v>
      </c>
      <c r="P9" s="230">
        <v>5</v>
      </c>
      <c r="Q9" s="230">
        <v>5</v>
      </c>
      <c r="R9" s="230">
        <v>5</v>
      </c>
      <c r="S9" s="230">
        <v>5</v>
      </c>
    </row>
    <row r="10" spans="1:19" ht="19.5" customHeight="1">
      <c r="A10" s="104" t="s">
        <v>135</v>
      </c>
      <c r="B10" s="228" t="s">
        <v>136</v>
      </c>
      <c r="C10" s="232" t="s">
        <v>137</v>
      </c>
      <c r="D10" s="230">
        <v>10000</v>
      </c>
      <c r="E10" s="230">
        <v>10000</v>
      </c>
      <c r="F10" s="230">
        <v>10000</v>
      </c>
      <c r="G10" s="230">
        <v>10000</v>
      </c>
      <c r="H10" s="230">
        <v>10000</v>
      </c>
      <c r="I10" s="230">
        <v>10000</v>
      </c>
      <c r="J10" s="230">
        <v>10000</v>
      </c>
      <c r="K10" s="230">
        <v>10000</v>
      </c>
      <c r="L10" s="230">
        <v>10000</v>
      </c>
      <c r="M10" s="230">
        <v>10000</v>
      </c>
      <c r="N10" s="230">
        <v>10000</v>
      </c>
      <c r="O10" s="230">
        <v>10000</v>
      </c>
      <c r="P10" s="230">
        <v>10000</v>
      </c>
      <c r="Q10" s="230">
        <v>10000</v>
      </c>
      <c r="R10" s="230">
        <v>10000</v>
      </c>
      <c r="S10" s="230">
        <v>10000</v>
      </c>
    </row>
    <row r="11" spans="1:19" ht="19.5" customHeight="1">
      <c r="A11" s="155"/>
      <c r="B11" s="228" t="s">
        <v>138</v>
      </c>
      <c r="C11" s="232" t="s">
        <v>137</v>
      </c>
      <c r="D11" s="230">
        <v>25000</v>
      </c>
      <c r="E11" s="230">
        <v>25000</v>
      </c>
      <c r="F11" s="230">
        <v>25000</v>
      </c>
      <c r="G11" s="230">
        <v>25000</v>
      </c>
      <c r="H11" s="230">
        <v>25000</v>
      </c>
      <c r="I11" s="230">
        <v>25000</v>
      </c>
      <c r="J11" s="230">
        <v>25000</v>
      </c>
      <c r="K11" s="230">
        <v>25000</v>
      </c>
      <c r="L11" s="230">
        <v>25000</v>
      </c>
      <c r="M11" s="230">
        <v>25000</v>
      </c>
      <c r="N11" s="230">
        <v>25000</v>
      </c>
      <c r="O11" s="230">
        <v>25000</v>
      </c>
      <c r="P11" s="230">
        <v>25000</v>
      </c>
      <c r="Q11" s="230">
        <v>25000</v>
      </c>
      <c r="R11" s="230">
        <v>25000</v>
      </c>
      <c r="S11" s="230">
        <v>25000</v>
      </c>
    </row>
    <row r="12" spans="1:19" ht="19.5" customHeight="1">
      <c r="A12" s="155"/>
      <c r="B12" s="228" t="s">
        <v>139</v>
      </c>
      <c r="C12" s="232" t="s">
        <v>137</v>
      </c>
      <c r="D12" s="230">
        <v>100000</v>
      </c>
      <c r="E12" s="230">
        <v>100000</v>
      </c>
      <c r="F12" s="230">
        <v>100000</v>
      </c>
      <c r="G12" s="230">
        <v>100000</v>
      </c>
      <c r="H12" s="230">
        <v>100000</v>
      </c>
      <c r="I12" s="230">
        <v>100000</v>
      </c>
      <c r="J12" s="230">
        <v>100000</v>
      </c>
      <c r="K12" s="230">
        <v>100000</v>
      </c>
      <c r="L12" s="230">
        <v>100000</v>
      </c>
      <c r="M12" s="230">
        <v>100000</v>
      </c>
      <c r="N12" s="230">
        <v>100000</v>
      </c>
      <c r="O12" s="230">
        <v>100000</v>
      </c>
      <c r="P12" s="230">
        <v>100000</v>
      </c>
      <c r="Q12" s="230">
        <v>100000</v>
      </c>
      <c r="R12" s="230">
        <v>100000</v>
      </c>
      <c r="S12" s="230">
        <v>100000</v>
      </c>
    </row>
  </sheetData>
  <mergeCells count="5">
    <mergeCell ref="A1:S1"/>
    <mergeCell ref="L2:O2"/>
    <mergeCell ref="D2:G2"/>
    <mergeCell ref="H2:K2"/>
    <mergeCell ref="P2:S2"/>
  </mergeCells>
  <printOptions horizontalCentered="1"/>
  <pageMargins left="1" right="1" top="1" bottom="1" header="0" footer="0"/>
  <pageSetup paperSize="9" scale="83" fitToWidth="2" orientation="landscape" r:id="rId1"/>
  <headerFooter>
    <oddFooter>&amp;C&amp;"Helvetica Neue,Regular"&amp;10&amp;K000000000000&amp;P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showGridLines="0" zoomScale="41" zoomScaleNormal="41" workbookViewId="0">
      <selection activeCell="AB11" sqref="AB11"/>
    </sheetView>
  </sheetViews>
  <sheetFormatPr defaultColWidth="14.44140625" defaultRowHeight="15" customHeight="1"/>
  <cols>
    <col min="1" max="1" width="17.6640625" style="233" customWidth="1"/>
    <col min="2" max="2" width="14.6640625" style="233" customWidth="1"/>
    <col min="3" max="3" width="15.6640625" style="233" customWidth="1"/>
    <col min="4" max="4" width="10.33203125" style="233" customWidth="1"/>
    <col min="5" max="10" width="12.109375" style="233" customWidth="1"/>
    <col min="11" max="20" width="13.44140625" style="233" customWidth="1"/>
    <col min="21" max="256" width="14.44140625" style="233" customWidth="1"/>
  </cols>
  <sheetData>
    <row r="1" spans="1:20" ht="14.7" customHeight="1">
      <c r="A1" s="404" t="s">
        <v>140</v>
      </c>
      <c r="B1" s="405"/>
      <c r="C1" s="405"/>
      <c r="D1" s="424"/>
      <c r="E1" s="425"/>
      <c r="F1" s="426"/>
      <c r="G1" s="426"/>
      <c r="H1" s="427"/>
      <c r="I1" s="428"/>
      <c r="J1" s="405"/>
      <c r="K1" s="405"/>
      <c r="L1" s="424"/>
      <c r="M1" s="425"/>
      <c r="N1" s="426"/>
      <c r="O1" s="426"/>
      <c r="P1" s="427"/>
      <c r="Q1" s="428"/>
      <c r="R1" s="405"/>
      <c r="S1" s="405"/>
      <c r="T1" s="421"/>
    </row>
    <row r="2" spans="1:20" ht="22.5" customHeight="1">
      <c r="A2" s="449">
        <v>0</v>
      </c>
      <c r="B2" s="451"/>
      <c r="C2" s="454"/>
      <c r="D2" s="447"/>
      <c r="E2" s="441" t="s">
        <v>1</v>
      </c>
      <c r="F2" s="390"/>
      <c r="G2" s="390"/>
      <c r="H2" s="442"/>
      <c r="I2" s="440" t="s">
        <v>2</v>
      </c>
      <c r="J2" s="390"/>
      <c r="K2" s="390"/>
      <c r="L2" s="442"/>
      <c r="M2" s="441" t="s">
        <v>3</v>
      </c>
      <c r="N2" s="390"/>
      <c r="O2" s="390"/>
      <c r="P2" s="442"/>
      <c r="Q2" s="440" t="s">
        <v>4</v>
      </c>
      <c r="R2" s="390"/>
      <c r="S2" s="390"/>
      <c r="T2" s="391"/>
    </row>
    <row r="3" spans="1:20" ht="22.5" customHeight="1">
      <c r="A3" s="420"/>
      <c r="B3" s="420"/>
      <c r="C3" s="397"/>
      <c r="D3" s="448"/>
      <c r="E3" s="234" t="s">
        <v>5</v>
      </c>
      <c r="F3" s="235" t="s">
        <v>6</v>
      </c>
      <c r="G3" s="235" t="s">
        <v>7</v>
      </c>
      <c r="H3" s="236" t="s">
        <v>8</v>
      </c>
      <c r="I3" s="237" t="s">
        <v>5</v>
      </c>
      <c r="J3" s="238" t="s">
        <v>6</v>
      </c>
      <c r="K3" s="238" t="s">
        <v>7</v>
      </c>
      <c r="L3" s="239" t="s">
        <v>8</v>
      </c>
      <c r="M3" s="234" t="s">
        <v>5</v>
      </c>
      <c r="N3" s="235" t="s">
        <v>6</v>
      </c>
      <c r="O3" s="235" t="s">
        <v>7</v>
      </c>
      <c r="P3" s="236" t="s">
        <v>8</v>
      </c>
      <c r="Q3" s="237" t="s">
        <v>5</v>
      </c>
      <c r="R3" s="238" t="s">
        <v>6</v>
      </c>
      <c r="S3" s="238" t="s">
        <v>7</v>
      </c>
      <c r="T3" s="238" t="s">
        <v>8</v>
      </c>
    </row>
    <row r="4" spans="1:20" ht="22.5" customHeight="1">
      <c r="A4" s="240" t="s">
        <v>141</v>
      </c>
      <c r="B4" s="241"/>
      <c r="C4" s="242"/>
      <c r="D4" s="243"/>
      <c r="E4" s="244"/>
      <c r="F4" s="245"/>
      <c r="G4" s="245"/>
      <c r="H4" s="246"/>
      <c r="I4" s="247"/>
      <c r="J4" s="248"/>
      <c r="K4" s="248"/>
      <c r="L4" s="249"/>
      <c r="M4" s="244"/>
      <c r="N4" s="245"/>
      <c r="O4" s="245"/>
      <c r="P4" s="246"/>
      <c r="Q4" s="247"/>
      <c r="R4" s="248"/>
      <c r="S4" s="248"/>
      <c r="T4" s="248"/>
    </row>
    <row r="5" spans="1:20" ht="36" customHeight="1">
      <c r="A5" s="250"/>
      <c r="B5" s="251"/>
      <c r="C5" s="252" t="s">
        <v>142</v>
      </c>
      <c r="D5" s="253" t="s">
        <v>143</v>
      </c>
      <c r="E5" s="254" t="s">
        <v>144</v>
      </c>
      <c r="F5" s="255"/>
      <c r="G5" s="255"/>
      <c r="H5" s="256"/>
      <c r="I5" s="257"/>
      <c r="J5" s="258"/>
      <c r="K5" s="258"/>
      <c r="L5" s="259"/>
      <c r="M5" s="260"/>
      <c r="N5" s="255"/>
      <c r="O5" s="255"/>
      <c r="P5" s="256"/>
      <c r="Q5" s="257"/>
      <c r="R5" s="258"/>
      <c r="S5" s="258"/>
      <c r="T5" s="258"/>
    </row>
    <row r="6" spans="1:20" ht="36" customHeight="1">
      <c r="A6" s="443" t="s">
        <v>145</v>
      </c>
      <c r="B6" s="452" t="s">
        <v>146</v>
      </c>
      <c r="C6" s="252" t="s">
        <v>147</v>
      </c>
      <c r="D6" s="261">
        <v>10000</v>
      </c>
      <c r="E6" s="262">
        <v>10</v>
      </c>
      <c r="F6" s="263">
        <v>10</v>
      </c>
      <c r="G6" s="263">
        <v>30</v>
      </c>
      <c r="H6" s="264">
        <v>50</v>
      </c>
      <c r="I6" s="265">
        <v>50</v>
      </c>
      <c r="J6" s="266">
        <v>50</v>
      </c>
      <c r="K6" s="266">
        <v>50</v>
      </c>
      <c r="L6" s="267">
        <v>50</v>
      </c>
      <c r="M6" s="262">
        <v>50</v>
      </c>
      <c r="N6" s="263">
        <v>50</v>
      </c>
      <c r="O6" s="263">
        <v>50</v>
      </c>
      <c r="P6" s="264">
        <v>50</v>
      </c>
      <c r="Q6" s="265">
        <v>50</v>
      </c>
      <c r="R6" s="266">
        <v>50</v>
      </c>
      <c r="S6" s="266">
        <v>50</v>
      </c>
      <c r="T6" s="266">
        <v>50</v>
      </c>
    </row>
    <row r="7" spans="1:20" ht="21.75" customHeight="1">
      <c r="A7" s="382"/>
      <c r="B7" s="453"/>
      <c r="C7" s="268" t="s">
        <v>148</v>
      </c>
      <c r="D7" s="269"/>
      <c r="E7" s="270">
        <f t="shared" ref="E7:T7" si="0">$D$6*E6*90</f>
        <v>9000000</v>
      </c>
      <c r="F7" s="271">
        <f t="shared" si="0"/>
        <v>9000000</v>
      </c>
      <c r="G7" s="271">
        <f t="shared" si="0"/>
        <v>27000000</v>
      </c>
      <c r="H7" s="272">
        <f t="shared" si="0"/>
        <v>45000000</v>
      </c>
      <c r="I7" s="273">
        <f t="shared" si="0"/>
        <v>45000000</v>
      </c>
      <c r="J7" s="274">
        <f t="shared" si="0"/>
        <v>45000000</v>
      </c>
      <c r="K7" s="274">
        <f t="shared" si="0"/>
        <v>45000000</v>
      </c>
      <c r="L7" s="275">
        <f t="shared" si="0"/>
        <v>45000000</v>
      </c>
      <c r="M7" s="270">
        <f t="shared" si="0"/>
        <v>45000000</v>
      </c>
      <c r="N7" s="271">
        <f t="shared" si="0"/>
        <v>45000000</v>
      </c>
      <c r="O7" s="271">
        <f t="shared" si="0"/>
        <v>45000000</v>
      </c>
      <c r="P7" s="272">
        <f t="shared" si="0"/>
        <v>45000000</v>
      </c>
      <c r="Q7" s="273">
        <f t="shared" si="0"/>
        <v>45000000</v>
      </c>
      <c r="R7" s="274">
        <f t="shared" si="0"/>
        <v>45000000</v>
      </c>
      <c r="S7" s="274">
        <f t="shared" si="0"/>
        <v>45000000</v>
      </c>
      <c r="T7" s="274">
        <f t="shared" si="0"/>
        <v>45000000</v>
      </c>
    </row>
    <row r="8" spans="1:20" ht="36" customHeight="1">
      <c r="A8" s="443" t="s">
        <v>149</v>
      </c>
      <c r="B8" s="452" t="s">
        <v>150</v>
      </c>
      <c r="C8" s="252" t="s">
        <v>151</v>
      </c>
      <c r="D8" s="261">
        <v>1000000</v>
      </c>
      <c r="E8" s="270">
        <v>6</v>
      </c>
      <c r="F8" s="271">
        <v>6</v>
      </c>
      <c r="G8" s="271">
        <v>18</v>
      </c>
      <c r="H8" s="272">
        <v>30</v>
      </c>
      <c r="I8" s="273">
        <v>30</v>
      </c>
      <c r="J8" s="274">
        <v>30</v>
      </c>
      <c r="K8" s="274">
        <v>30</v>
      </c>
      <c r="L8" s="275">
        <v>30</v>
      </c>
      <c r="M8" s="270">
        <v>30</v>
      </c>
      <c r="N8" s="271">
        <v>30</v>
      </c>
      <c r="O8" s="271">
        <v>30</v>
      </c>
      <c r="P8" s="272">
        <v>30</v>
      </c>
      <c r="Q8" s="273">
        <v>30</v>
      </c>
      <c r="R8" s="274">
        <v>30</v>
      </c>
      <c r="S8" s="274">
        <v>30</v>
      </c>
      <c r="T8" s="274">
        <v>30</v>
      </c>
    </row>
    <row r="9" spans="1:20" ht="21.75" customHeight="1">
      <c r="A9" s="382"/>
      <c r="B9" s="453"/>
      <c r="C9" s="268" t="s">
        <v>148</v>
      </c>
      <c r="D9" s="269"/>
      <c r="E9" s="270">
        <f t="shared" ref="E9:T9" si="1">$D$8*E8</f>
        <v>6000000</v>
      </c>
      <c r="F9" s="271">
        <f t="shared" si="1"/>
        <v>6000000</v>
      </c>
      <c r="G9" s="271">
        <f t="shared" si="1"/>
        <v>18000000</v>
      </c>
      <c r="H9" s="272">
        <f t="shared" si="1"/>
        <v>30000000</v>
      </c>
      <c r="I9" s="273">
        <f t="shared" si="1"/>
        <v>30000000</v>
      </c>
      <c r="J9" s="274">
        <f t="shared" si="1"/>
        <v>30000000</v>
      </c>
      <c r="K9" s="274">
        <f t="shared" si="1"/>
        <v>30000000</v>
      </c>
      <c r="L9" s="275">
        <f t="shared" si="1"/>
        <v>30000000</v>
      </c>
      <c r="M9" s="270">
        <f t="shared" si="1"/>
        <v>30000000</v>
      </c>
      <c r="N9" s="271">
        <f t="shared" si="1"/>
        <v>30000000</v>
      </c>
      <c r="O9" s="271">
        <f t="shared" si="1"/>
        <v>30000000</v>
      </c>
      <c r="P9" s="272">
        <f t="shared" si="1"/>
        <v>30000000</v>
      </c>
      <c r="Q9" s="273">
        <f t="shared" si="1"/>
        <v>30000000</v>
      </c>
      <c r="R9" s="274">
        <f t="shared" si="1"/>
        <v>30000000</v>
      </c>
      <c r="S9" s="274">
        <f t="shared" si="1"/>
        <v>30000000</v>
      </c>
      <c r="T9" s="274">
        <f t="shared" si="1"/>
        <v>30000000</v>
      </c>
    </row>
    <row r="10" spans="1:20" ht="49.5" customHeight="1">
      <c r="A10" s="443" t="s">
        <v>152</v>
      </c>
      <c r="B10" s="276" t="s">
        <v>153</v>
      </c>
      <c r="C10" s="446" t="s">
        <v>154</v>
      </c>
      <c r="D10" s="450">
        <v>0.5</v>
      </c>
      <c r="E10" s="439">
        <v>100000</v>
      </c>
      <c r="F10" s="432">
        <v>100000</v>
      </c>
      <c r="G10" s="432">
        <v>100000</v>
      </c>
      <c r="H10" s="433">
        <v>100000</v>
      </c>
      <c r="I10" s="436">
        <v>100000</v>
      </c>
      <c r="J10" s="429">
        <v>100000</v>
      </c>
      <c r="K10" s="429">
        <v>100000</v>
      </c>
      <c r="L10" s="445">
        <v>100000</v>
      </c>
      <c r="M10" s="439">
        <v>100000</v>
      </c>
      <c r="N10" s="432">
        <v>100000</v>
      </c>
      <c r="O10" s="432">
        <v>100000</v>
      </c>
      <c r="P10" s="433">
        <v>100000</v>
      </c>
      <c r="Q10" s="436">
        <v>100000</v>
      </c>
      <c r="R10" s="429">
        <v>100000</v>
      </c>
      <c r="S10" s="429">
        <v>100000</v>
      </c>
      <c r="T10" s="429">
        <v>100000</v>
      </c>
    </row>
    <row r="11" spans="1:20" ht="49.5" customHeight="1">
      <c r="A11" s="403"/>
      <c r="B11" s="276" t="s">
        <v>155</v>
      </c>
      <c r="C11" s="430"/>
      <c r="D11" s="434"/>
      <c r="E11" s="437"/>
      <c r="F11" s="430"/>
      <c r="G11" s="430"/>
      <c r="H11" s="434"/>
      <c r="I11" s="437"/>
      <c r="J11" s="430"/>
      <c r="K11" s="430"/>
      <c r="L11" s="434"/>
      <c r="M11" s="437"/>
      <c r="N11" s="430"/>
      <c r="O11" s="430"/>
      <c r="P11" s="434"/>
      <c r="Q11" s="437"/>
      <c r="R11" s="430"/>
      <c r="S11" s="430"/>
      <c r="T11" s="430"/>
    </row>
    <row r="12" spans="1:20" ht="36" customHeight="1">
      <c r="A12" s="382"/>
      <c r="B12" s="276" t="s">
        <v>156</v>
      </c>
      <c r="C12" s="431"/>
      <c r="D12" s="435"/>
      <c r="E12" s="438"/>
      <c r="F12" s="431"/>
      <c r="G12" s="431"/>
      <c r="H12" s="435"/>
      <c r="I12" s="438"/>
      <c r="J12" s="431"/>
      <c r="K12" s="431"/>
      <c r="L12" s="435"/>
      <c r="M12" s="438"/>
      <c r="N12" s="431"/>
      <c r="O12" s="431"/>
      <c r="P12" s="435"/>
      <c r="Q12" s="438"/>
      <c r="R12" s="431"/>
      <c r="S12" s="431"/>
      <c r="T12" s="431"/>
    </row>
    <row r="13" spans="1:20" ht="21.75" customHeight="1">
      <c r="A13" s="443" t="s">
        <v>157</v>
      </c>
      <c r="B13" s="251"/>
      <c r="C13" s="277"/>
      <c r="D13" s="253" t="s">
        <v>158</v>
      </c>
      <c r="E13" s="270">
        <f>'Revenue Projection'!D15</f>
        <v>0</v>
      </c>
      <c r="F13" s="271">
        <f>'Revenue Projection'!E15</f>
        <v>54</v>
      </c>
      <c r="G13" s="271">
        <f>'Revenue Projection'!F15</f>
        <v>108</v>
      </c>
      <c r="H13" s="272">
        <f>'Revenue Projection'!G15</f>
        <v>576</v>
      </c>
      <c r="I13" s="273">
        <f>'Revenue Projection'!H15</f>
        <v>1836</v>
      </c>
      <c r="J13" s="274">
        <f>'Revenue Projection'!I15</f>
        <v>5256</v>
      </c>
      <c r="K13" s="274">
        <f>'Revenue Projection'!J15</f>
        <v>11160</v>
      </c>
      <c r="L13" s="275">
        <f>'Revenue Projection'!K15</f>
        <v>20196</v>
      </c>
      <c r="M13" s="270">
        <f>'Revenue Projection'!L15</f>
        <v>33012</v>
      </c>
      <c r="N13" s="271">
        <f>'Revenue Projection'!M15</f>
        <v>49392</v>
      </c>
      <c r="O13" s="271">
        <f>'Revenue Projection'!N15</f>
        <v>61056</v>
      </c>
      <c r="P13" s="272">
        <f>'Revenue Projection'!O15</f>
        <v>72720</v>
      </c>
      <c r="Q13" s="273">
        <f>'Revenue Projection'!P15</f>
        <v>84384</v>
      </c>
      <c r="R13" s="274">
        <f>'Revenue Projection'!Q15</f>
        <v>96048</v>
      </c>
      <c r="S13" s="274">
        <f>'Revenue Projection'!R15</f>
        <v>107712</v>
      </c>
      <c r="T13" s="274">
        <f>'Revenue Projection'!S15</f>
        <v>119376</v>
      </c>
    </row>
    <row r="14" spans="1:20" ht="36" customHeight="1">
      <c r="A14" s="403"/>
      <c r="B14" s="276" t="s">
        <v>159</v>
      </c>
      <c r="C14" s="278">
        <v>1000</v>
      </c>
      <c r="D14" s="253" t="s">
        <v>148</v>
      </c>
      <c r="E14" s="270">
        <f t="shared" ref="E14:T14" si="2">$C$14*E13</f>
        <v>0</v>
      </c>
      <c r="F14" s="271">
        <f t="shared" si="2"/>
        <v>54000</v>
      </c>
      <c r="G14" s="271">
        <f t="shared" si="2"/>
        <v>108000</v>
      </c>
      <c r="H14" s="272">
        <f t="shared" si="2"/>
        <v>576000</v>
      </c>
      <c r="I14" s="273">
        <f t="shared" si="2"/>
        <v>1836000</v>
      </c>
      <c r="J14" s="274">
        <f t="shared" si="2"/>
        <v>5256000</v>
      </c>
      <c r="K14" s="274">
        <f t="shared" si="2"/>
        <v>11160000</v>
      </c>
      <c r="L14" s="275">
        <f t="shared" si="2"/>
        <v>20196000</v>
      </c>
      <c r="M14" s="270">
        <f t="shared" si="2"/>
        <v>33012000</v>
      </c>
      <c r="N14" s="271">
        <f t="shared" si="2"/>
        <v>49392000</v>
      </c>
      <c r="O14" s="271">
        <f t="shared" si="2"/>
        <v>61056000</v>
      </c>
      <c r="P14" s="272">
        <f t="shared" si="2"/>
        <v>72720000</v>
      </c>
      <c r="Q14" s="273">
        <f t="shared" si="2"/>
        <v>84384000</v>
      </c>
      <c r="R14" s="274">
        <f t="shared" si="2"/>
        <v>96048000</v>
      </c>
      <c r="S14" s="274">
        <f t="shared" si="2"/>
        <v>107712000</v>
      </c>
      <c r="T14" s="274">
        <f t="shared" si="2"/>
        <v>119376000</v>
      </c>
    </row>
    <row r="15" spans="1:20" ht="36" customHeight="1">
      <c r="A15" s="382"/>
      <c r="B15" s="276" t="s">
        <v>160</v>
      </c>
      <c r="C15" s="278">
        <v>1500</v>
      </c>
      <c r="D15" s="253" t="s">
        <v>148</v>
      </c>
      <c r="E15" s="270">
        <f t="shared" ref="E15:T15" si="3">$C$15*E13</f>
        <v>0</v>
      </c>
      <c r="F15" s="271">
        <f t="shared" si="3"/>
        <v>81000</v>
      </c>
      <c r="G15" s="271">
        <f t="shared" si="3"/>
        <v>162000</v>
      </c>
      <c r="H15" s="272">
        <f t="shared" si="3"/>
        <v>864000</v>
      </c>
      <c r="I15" s="273">
        <f t="shared" si="3"/>
        <v>2754000</v>
      </c>
      <c r="J15" s="274">
        <f t="shared" si="3"/>
        <v>7884000</v>
      </c>
      <c r="K15" s="274">
        <f t="shared" si="3"/>
        <v>16740000</v>
      </c>
      <c r="L15" s="275">
        <f t="shared" si="3"/>
        <v>30294000</v>
      </c>
      <c r="M15" s="270">
        <f t="shared" si="3"/>
        <v>49518000</v>
      </c>
      <c r="N15" s="271">
        <f t="shared" si="3"/>
        <v>74088000</v>
      </c>
      <c r="O15" s="271">
        <f t="shared" si="3"/>
        <v>91584000</v>
      </c>
      <c r="P15" s="272">
        <f t="shared" si="3"/>
        <v>109080000</v>
      </c>
      <c r="Q15" s="273">
        <f t="shared" si="3"/>
        <v>126576000</v>
      </c>
      <c r="R15" s="274">
        <f t="shared" si="3"/>
        <v>144072000</v>
      </c>
      <c r="S15" s="274">
        <f t="shared" si="3"/>
        <v>161568000</v>
      </c>
      <c r="T15" s="274">
        <f t="shared" si="3"/>
        <v>179064000</v>
      </c>
    </row>
    <row r="16" spans="1:20" ht="36" customHeight="1">
      <c r="A16" s="443" t="s">
        <v>161</v>
      </c>
      <c r="B16" s="276" t="s">
        <v>162</v>
      </c>
      <c r="C16" s="277"/>
      <c r="D16" s="253" t="s">
        <v>158</v>
      </c>
      <c r="E16" s="270">
        <f>'Revenue Projection'!D36</f>
        <v>5</v>
      </c>
      <c r="F16" s="271">
        <f>'Revenue Projection'!E36-E16</f>
        <v>2</v>
      </c>
      <c r="G16" s="271">
        <f>'Revenue Projection'!F36-F16</f>
        <v>9</v>
      </c>
      <c r="H16" s="272">
        <f>'Revenue Projection'!G36-G16</f>
        <v>21</v>
      </c>
      <c r="I16" s="273">
        <f>'Revenue Projection'!H36-H16</f>
        <v>70</v>
      </c>
      <c r="J16" s="274">
        <f>'Revenue Projection'!I36-I16</f>
        <v>196</v>
      </c>
      <c r="K16" s="274">
        <f>'Revenue Projection'!J36-J16</f>
        <v>442</v>
      </c>
      <c r="L16" s="275">
        <f>'Revenue Projection'!K36-K16</f>
        <v>870</v>
      </c>
      <c r="M16" s="270">
        <f>'Revenue Projection'!L36-L16</f>
        <v>1542</v>
      </c>
      <c r="N16" s="271">
        <f>'Revenue Projection'!M36-M16</f>
        <v>2516</v>
      </c>
      <c r="O16" s="271">
        <f>'Revenue Projection'!N36-N16</f>
        <v>3578</v>
      </c>
      <c r="P16" s="272">
        <f>'Revenue Projection'!O36-O16</f>
        <v>4940</v>
      </c>
      <c r="Q16" s="273">
        <f>'Revenue Projection'!P36-P16</f>
        <v>6390</v>
      </c>
      <c r="R16" s="274">
        <f>'Revenue Projection'!Q36-Q16</f>
        <v>8142</v>
      </c>
      <c r="S16" s="274">
        <f>'Revenue Projection'!R36-R16</f>
        <v>9980</v>
      </c>
      <c r="T16" s="274">
        <f>'Revenue Projection'!S36-S16</f>
        <v>12122</v>
      </c>
    </row>
    <row r="17" spans="1:20" ht="36" customHeight="1">
      <c r="A17" s="403"/>
      <c r="B17" s="276" t="s">
        <v>163</v>
      </c>
      <c r="C17" s="277"/>
      <c r="D17" s="253" t="s">
        <v>158</v>
      </c>
      <c r="E17" s="270">
        <f>'Revenue Projection'!D12</f>
        <v>18</v>
      </c>
      <c r="F17" s="271">
        <f>'Revenue Projection'!E12</f>
        <v>18</v>
      </c>
      <c r="G17" s="271">
        <f>'Revenue Projection'!F12</f>
        <v>60</v>
      </c>
      <c r="H17" s="272">
        <f>'Revenue Projection'!G12</f>
        <v>108</v>
      </c>
      <c r="I17" s="273">
        <f>'Revenue Projection'!H12</f>
        <v>234</v>
      </c>
      <c r="J17" s="274">
        <f>'Revenue Projection'!I12</f>
        <v>306</v>
      </c>
      <c r="K17" s="274">
        <f>'Revenue Projection'!J12</f>
        <v>378</v>
      </c>
      <c r="L17" s="275">
        <f>'Revenue Projection'!K12</f>
        <v>450</v>
      </c>
      <c r="M17" s="270">
        <f>'Revenue Projection'!L12</f>
        <v>486</v>
      </c>
      <c r="N17" s="271">
        <f>'Revenue Projection'!M12</f>
        <v>486</v>
      </c>
      <c r="O17" s="271">
        <f>'Revenue Projection'!N12</f>
        <v>486</v>
      </c>
      <c r="P17" s="272">
        <f>'Revenue Projection'!O12</f>
        <v>486</v>
      </c>
      <c r="Q17" s="273">
        <f>'Revenue Projection'!P12</f>
        <v>486</v>
      </c>
      <c r="R17" s="274">
        <f>'Revenue Projection'!Q12</f>
        <v>486</v>
      </c>
      <c r="S17" s="274">
        <f>'Revenue Projection'!R12</f>
        <v>486</v>
      </c>
      <c r="T17" s="274">
        <f>'Revenue Projection'!S12</f>
        <v>486</v>
      </c>
    </row>
    <row r="18" spans="1:20" ht="49.5" customHeight="1">
      <c r="A18" s="382"/>
      <c r="B18" s="276" t="s">
        <v>164</v>
      </c>
      <c r="C18" s="277"/>
      <c r="D18" s="253" t="s">
        <v>158</v>
      </c>
      <c r="E18" s="270">
        <f>'HR Cost'!D10+'HR Cost'!D14</f>
        <v>9</v>
      </c>
      <c r="F18" s="271">
        <f>'HR Cost'!E10+'HR Cost'!E14-E18</f>
        <v>0</v>
      </c>
      <c r="G18" s="271">
        <f>'HR Cost'!F10+'HR Cost'!F14-F18</f>
        <v>13</v>
      </c>
      <c r="H18" s="272">
        <f>'HR Cost'!G10+'HR Cost'!G14-G18</f>
        <v>7</v>
      </c>
      <c r="I18" s="273">
        <f>'HR Cost'!H10+'HR Cost'!H14-H18</f>
        <v>25</v>
      </c>
      <c r="J18" s="274">
        <f>'HR Cost'!I10+'HR Cost'!I14-I18</f>
        <v>25</v>
      </c>
      <c r="K18" s="274">
        <f>'HR Cost'!J10+'HR Cost'!J14-J18</f>
        <v>55</v>
      </c>
      <c r="L18" s="275">
        <f>'HR Cost'!K10+'HR Cost'!K14-K18</f>
        <v>74</v>
      </c>
      <c r="M18" s="270">
        <f>'HR Cost'!L10+'HR Cost'!L14-L18</f>
        <v>125</v>
      </c>
      <c r="N18" s="271">
        <f>'HR Cost'!M10+'HR Cost'!M14-M18</f>
        <v>173</v>
      </c>
      <c r="O18" s="271">
        <f>'HR Cost'!N10+'HR Cost'!N14-N18</f>
        <v>247</v>
      </c>
      <c r="P18" s="272">
        <f>'HR Cost'!O10+'HR Cost'!O14-O18</f>
        <v>318</v>
      </c>
      <c r="Q18" s="273">
        <f>'HR Cost'!P10+'HR Cost'!P14-P18</f>
        <v>416</v>
      </c>
      <c r="R18" s="274">
        <f>'HR Cost'!Q10+'HR Cost'!Q14-Q18</f>
        <v>510</v>
      </c>
      <c r="S18" s="274">
        <f>'HR Cost'!R10+'HR Cost'!R14-R18</f>
        <v>632</v>
      </c>
      <c r="T18" s="274">
        <f>'HR Cost'!S10+'HR Cost'!S14-S18</f>
        <v>748</v>
      </c>
    </row>
    <row r="19" spans="1:20" ht="22.5" customHeight="1">
      <c r="A19" s="250"/>
      <c r="B19" s="251"/>
      <c r="C19" s="277"/>
      <c r="D19" s="253" t="s">
        <v>165</v>
      </c>
      <c r="E19" s="270">
        <f t="shared" ref="E19:T19" si="4">SUM(E16:E18)</f>
        <v>32</v>
      </c>
      <c r="F19" s="271">
        <f t="shared" si="4"/>
        <v>20</v>
      </c>
      <c r="G19" s="271">
        <f t="shared" si="4"/>
        <v>82</v>
      </c>
      <c r="H19" s="272">
        <f t="shared" si="4"/>
        <v>136</v>
      </c>
      <c r="I19" s="273">
        <f t="shared" si="4"/>
        <v>329</v>
      </c>
      <c r="J19" s="274">
        <f t="shared" si="4"/>
        <v>527</v>
      </c>
      <c r="K19" s="274">
        <f t="shared" si="4"/>
        <v>875</v>
      </c>
      <c r="L19" s="275">
        <f t="shared" si="4"/>
        <v>1394</v>
      </c>
      <c r="M19" s="270">
        <f t="shared" si="4"/>
        <v>2153</v>
      </c>
      <c r="N19" s="271">
        <f t="shared" si="4"/>
        <v>3175</v>
      </c>
      <c r="O19" s="271">
        <f t="shared" si="4"/>
        <v>4311</v>
      </c>
      <c r="P19" s="272">
        <f t="shared" si="4"/>
        <v>5744</v>
      </c>
      <c r="Q19" s="273">
        <f t="shared" si="4"/>
        <v>7292</v>
      </c>
      <c r="R19" s="274">
        <f t="shared" si="4"/>
        <v>9138</v>
      </c>
      <c r="S19" s="274">
        <f t="shared" si="4"/>
        <v>11098</v>
      </c>
      <c r="T19" s="274">
        <f t="shared" si="4"/>
        <v>13356</v>
      </c>
    </row>
    <row r="20" spans="1:20" ht="36" customHeight="1">
      <c r="A20" s="250"/>
      <c r="B20" s="251"/>
      <c r="C20" s="277"/>
      <c r="D20" s="253" t="s">
        <v>166</v>
      </c>
      <c r="E20" s="270">
        <f>SUM(E19:H19*200)</f>
        <v>6400</v>
      </c>
      <c r="F20" s="271"/>
      <c r="G20" s="271"/>
      <c r="H20" s="272"/>
      <c r="I20" s="273">
        <f>SUM(I19:L19*200)</f>
        <v>65800</v>
      </c>
      <c r="J20" s="274"/>
      <c r="K20" s="274"/>
      <c r="L20" s="275"/>
      <c r="M20" s="270">
        <f t="shared" ref="M20:T20" si="5">M19*200</f>
        <v>430600</v>
      </c>
      <c r="N20" s="271">
        <f t="shared" si="5"/>
        <v>635000</v>
      </c>
      <c r="O20" s="271">
        <f t="shared" si="5"/>
        <v>862200</v>
      </c>
      <c r="P20" s="272">
        <f t="shared" si="5"/>
        <v>1148800</v>
      </c>
      <c r="Q20" s="273">
        <f t="shared" si="5"/>
        <v>1458400</v>
      </c>
      <c r="R20" s="274">
        <f t="shared" si="5"/>
        <v>1827600</v>
      </c>
      <c r="S20" s="274">
        <f t="shared" si="5"/>
        <v>2219600</v>
      </c>
      <c r="T20" s="274">
        <f t="shared" si="5"/>
        <v>2671200</v>
      </c>
    </row>
    <row r="21" spans="1:20" ht="22.5" customHeight="1">
      <c r="A21" s="279" t="s">
        <v>167</v>
      </c>
      <c r="B21" s="251"/>
      <c r="C21" s="277"/>
      <c r="D21" s="280"/>
      <c r="E21" s="270"/>
      <c r="F21" s="271"/>
      <c r="G21" s="271"/>
      <c r="H21" s="272"/>
      <c r="I21" s="273"/>
      <c r="J21" s="274"/>
      <c r="K21" s="274"/>
      <c r="L21" s="275"/>
      <c r="M21" s="270"/>
      <c r="N21" s="271"/>
      <c r="O21" s="271"/>
      <c r="P21" s="272"/>
      <c r="Q21" s="273"/>
      <c r="R21" s="274"/>
      <c r="S21" s="274"/>
      <c r="T21" s="274"/>
    </row>
    <row r="22" spans="1:20" ht="52.5" customHeight="1">
      <c r="A22" s="281" t="s">
        <v>168</v>
      </c>
      <c r="B22" s="251"/>
      <c r="C22" s="277"/>
      <c r="D22" s="280"/>
      <c r="E22" s="270">
        <v>3</v>
      </c>
      <c r="F22" s="271">
        <v>3</v>
      </c>
      <c r="G22" s="271">
        <v>3</v>
      </c>
      <c r="H22" s="272">
        <v>3</v>
      </c>
      <c r="I22" s="273">
        <v>3</v>
      </c>
      <c r="J22" s="274">
        <v>3</v>
      </c>
      <c r="K22" s="274">
        <v>3</v>
      </c>
      <c r="L22" s="275">
        <v>3</v>
      </c>
      <c r="M22" s="270">
        <v>3</v>
      </c>
      <c r="N22" s="271">
        <v>3</v>
      </c>
      <c r="O22" s="271">
        <v>3</v>
      </c>
      <c r="P22" s="272">
        <v>3</v>
      </c>
      <c r="Q22" s="273">
        <v>3</v>
      </c>
      <c r="R22" s="274">
        <v>3</v>
      </c>
      <c r="S22" s="274">
        <v>3</v>
      </c>
      <c r="T22" s="274">
        <v>3</v>
      </c>
    </row>
    <row r="23" spans="1:20" ht="36" customHeight="1">
      <c r="A23" s="250"/>
      <c r="B23" s="251"/>
      <c r="C23" s="277"/>
      <c r="D23" s="253" t="s">
        <v>169</v>
      </c>
      <c r="E23" s="270">
        <v>200000</v>
      </c>
      <c r="F23" s="271">
        <v>200000</v>
      </c>
      <c r="G23" s="271">
        <v>200000</v>
      </c>
      <c r="H23" s="272">
        <v>200000</v>
      </c>
      <c r="I23" s="273">
        <v>200000</v>
      </c>
      <c r="J23" s="274">
        <v>200000</v>
      </c>
      <c r="K23" s="274">
        <v>200000</v>
      </c>
      <c r="L23" s="275">
        <v>200000</v>
      </c>
      <c r="M23" s="270">
        <v>200000</v>
      </c>
      <c r="N23" s="271">
        <v>200000</v>
      </c>
      <c r="O23" s="271">
        <v>200000</v>
      </c>
      <c r="P23" s="272">
        <v>200000</v>
      </c>
      <c r="Q23" s="273">
        <v>200000</v>
      </c>
      <c r="R23" s="274">
        <v>200000</v>
      </c>
      <c r="S23" s="274">
        <v>200000</v>
      </c>
      <c r="T23" s="274">
        <v>200000</v>
      </c>
    </row>
    <row r="24" spans="1:20" ht="22.5" customHeight="1">
      <c r="A24" s="250"/>
      <c r="B24" s="251"/>
      <c r="C24" s="277"/>
      <c r="D24" s="253" t="s">
        <v>71</v>
      </c>
      <c r="E24" s="270">
        <f t="shared" ref="E24:T24" si="6">E23*E22</f>
        <v>600000</v>
      </c>
      <c r="F24" s="271">
        <f t="shared" si="6"/>
        <v>600000</v>
      </c>
      <c r="G24" s="271">
        <f t="shared" si="6"/>
        <v>600000</v>
      </c>
      <c r="H24" s="272">
        <f t="shared" si="6"/>
        <v>600000</v>
      </c>
      <c r="I24" s="273">
        <f t="shared" si="6"/>
        <v>600000</v>
      </c>
      <c r="J24" s="274">
        <f t="shared" si="6"/>
        <v>600000</v>
      </c>
      <c r="K24" s="274">
        <f t="shared" si="6"/>
        <v>600000</v>
      </c>
      <c r="L24" s="275">
        <f t="shared" si="6"/>
        <v>600000</v>
      </c>
      <c r="M24" s="270">
        <f t="shared" si="6"/>
        <v>600000</v>
      </c>
      <c r="N24" s="271">
        <f t="shared" si="6"/>
        <v>600000</v>
      </c>
      <c r="O24" s="271">
        <f t="shared" si="6"/>
        <v>600000</v>
      </c>
      <c r="P24" s="272">
        <f t="shared" si="6"/>
        <v>600000</v>
      </c>
      <c r="Q24" s="273">
        <f t="shared" si="6"/>
        <v>600000</v>
      </c>
      <c r="R24" s="274">
        <f t="shared" si="6"/>
        <v>600000</v>
      </c>
      <c r="S24" s="274">
        <f t="shared" si="6"/>
        <v>600000</v>
      </c>
      <c r="T24" s="274">
        <f t="shared" si="6"/>
        <v>600000</v>
      </c>
    </row>
    <row r="25" spans="1:20" ht="22.5" customHeight="1">
      <c r="A25" s="279" t="s">
        <v>170</v>
      </c>
      <c r="B25" s="251"/>
      <c r="C25" s="277"/>
      <c r="D25" s="280"/>
      <c r="E25" s="270"/>
      <c r="F25" s="271"/>
      <c r="G25" s="271"/>
      <c r="H25" s="272"/>
      <c r="I25" s="273"/>
      <c r="J25" s="274"/>
      <c r="K25" s="274"/>
      <c r="L25" s="275"/>
      <c r="M25" s="270"/>
      <c r="N25" s="271"/>
      <c r="O25" s="271"/>
      <c r="P25" s="272"/>
      <c r="Q25" s="273"/>
      <c r="R25" s="274"/>
      <c r="S25" s="274"/>
      <c r="T25" s="274"/>
    </row>
    <row r="26" spans="1:20" ht="22.5" customHeight="1">
      <c r="A26" s="281" t="s">
        <v>171</v>
      </c>
      <c r="B26" s="251"/>
      <c r="C26" s="277"/>
      <c r="D26" s="280"/>
      <c r="E26" s="439">
        <v>1000000</v>
      </c>
      <c r="F26" s="432">
        <v>1000000</v>
      </c>
      <c r="G26" s="432">
        <v>1000000</v>
      </c>
      <c r="H26" s="433">
        <v>1000000</v>
      </c>
      <c r="I26" s="436">
        <v>1000000</v>
      </c>
      <c r="J26" s="429">
        <v>1000000</v>
      </c>
      <c r="K26" s="429">
        <v>1000000</v>
      </c>
      <c r="L26" s="445">
        <v>1000000</v>
      </c>
      <c r="M26" s="439">
        <v>1000000</v>
      </c>
      <c r="N26" s="432">
        <v>1000000</v>
      </c>
      <c r="O26" s="432">
        <v>1000000</v>
      </c>
      <c r="P26" s="433">
        <v>1000000</v>
      </c>
      <c r="Q26" s="436">
        <v>1000000</v>
      </c>
      <c r="R26" s="429">
        <v>1000000</v>
      </c>
      <c r="S26" s="429">
        <v>1000000</v>
      </c>
      <c r="T26" s="429">
        <v>1000000</v>
      </c>
    </row>
    <row r="27" spans="1:20" ht="37.5" customHeight="1">
      <c r="A27" s="281" t="s">
        <v>172</v>
      </c>
      <c r="B27" s="251"/>
      <c r="C27" s="277"/>
      <c r="D27" s="280"/>
      <c r="E27" s="437"/>
      <c r="F27" s="430"/>
      <c r="G27" s="430"/>
      <c r="H27" s="434"/>
      <c r="I27" s="437"/>
      <c r="J27" s="430"/>
      <c r="K27" s="430"/>
      <c r="L27" s="434"/>
      <c r="M27" s="437"/>
      <c r="N27" s="430"/>
      <c r="O27" s="430"/>
      <c r="P27" s="434"/>
      <c r="Q27" s="437"/>
      <c r="R27" s="430"/>
      <c r="S27" s="430"/>
      <c r="T27" s="430"/>
    </row>
    <row r="28" spans="1:20" ht="22.5" customHeight="1">
      <c r="A28" s="281" t="s">
        <v>173</v>
      </c>
      <c r="B28" s="251"/>
      <c r="C28" s="277"/>
      <c r="D28" s="280"/>
      <c r="E28" s="437"/>
      <c r="F28" s="430"/>
      <c r="G28" s="430"/>
      <c r="H28" s="434"/>
      <c r="I28" s="437"/>
      <c r="J28" s="430"/>
      <c r="K28" s="430"/>
      <c r="L28" s="434"/>
      <c r="M28" s="437"/>
      <c r="N28" s="430"/>
      <c r="O28" s="430"/>
      <c r="P28" s="434"/>
      <c r="Q28" s="437"/>
      <c r="R28" s="430"/>
      <c r="S28" s="430"/>
      <c r="T28" s="430"/>
    </row>
    <row r="29" spans="1:20" ht="22.5" customHeight="1">
      <c r="A29" s="281" t="s">
        <v>174</v>
      </c>
      <c r="B29" s="251"/>
      <c r="C29" s="277"/>
      <c r="D29" s="280"/>
      <c r="E29" s="437"/>
      <c r="F29" s="430"/>
      <c r="G29" s="430"/>
      <c r="H29" s="434"/>
      <c r="I29" s="437"/>
      <c r="J29" s="430"/>
      <c r="K29" s="430"/>
      <c r="L29" s="434"/>
      <c r="M29" s="437"/>
      <c r="N29" s="430"/>
      <c r="O29" s="430"/>
      <c r="P29" s="434"/>
      <c r="Q29" s="437"/>
      <c r="R29" s="430"/>
      <c r="S29" s="430"/>
      <c r="T29" s="430"/>
    </row>
    <row r="30" spans="1:20" ht="22.5" customHeight="1">
      <c r="A30" s="281" t="s">
        <v>175</v>
      </c>
      <c r="B30" s="251"/>
      <c r="C30" s="277"/>
      <c r="D30" s="280"/>
      <c r="E30" s="438"/>
      <c r="F30" s="431"/>
      <c r="G30" s="431"/>
      <c r="H30" s="435"/>
      <c r="I30" s="438"/>
      <c r="J30" s="431"/>
      <c r="K30" s="431"/>
      <c r="L30" s="435"/>
      <c r="M30" s="438"/>
      <c r="N30" s="431"/>
      <c r="O30" s="431"/>
      <c r="P30" s="435"/>
      <c r="Q30" s="438"/>
      <c r="R30" s="431"/>
      <c r="S30" s="431"/>
      <c r="T30" s="431"/>
    </row>
    <row r="31" spans="1:20" ht="22.5" customHeight="1">
      <c r="A31" s="282"/>
      <c r="B31" s="444" t="s">
        <v>176</v>
      </c>
      <c r="C31" s="390"/>
      <c r="D31" s="442"/>
      <c r="E31" s="283">
        <f t="shared" ref="E31:T31" si="7">E26+E24+E20+E15+E14+E10+E9+E7</f>
        <v>16706400</v>
      </c>
      <c r="F31" s="284">
        <f t="shared" si="7"/>
        <v>16835000</v>
      </c>
      <c r="G31" s="284">
        <f t="shared" si="7"/>
        <v>46970000</v>
      </c>
      <c r="H31" s="285">
        <f t="shared" si="7"/>
        <v>78140000</v>
      </c>
      <c r="I31" s="283">
        <f t="shared" si="7"/>
        <v>81355800</v>
      </c>
      <c r="J31" s="284">
        <f t="shared" si="7"/>
        <v>89840000</v>
      </c>
      <c r="K31" s="284">
        <f t="shared" si="7"/>
        <v>104600000</v>
      </c>
      <c r="L31" s="285">
        <f t="shared" si="7"/>
        <v>127190000</v>
      </c>
      <c r="M31" s="283">
        <f t="shared" si="7"/>
        <v>159660600</v>
      </c>
      <c r="N31" s="284">
        <f t="shared" si="7"/>
        <v>200815000</v>
      </c>
      <c r="O31" s="284">
        <f t="shared" si="7"/>
        <v>230202200</v>
      </c>
      <c r="P31" s="285">
        <f t="shared" si="7"/>
        <v>259648800</v>
      </c>
      <c r="Q31" s="283">
        <f t="shared" si="7"/>
        <v>289118400</v>
      </c>
      <c r="R31" s="284">
        <f t="shared" si="7"/>
        <v>318647600</v>
      </c>
      <c r="S31" s="284">
        <f t="shared" si="7"/>
        <v>348199600</v>
      </c>
      <c r="T31" s="284">
        <f t="shared" si="7"/>
        <v>377811200</v>
      </c>
    </row>
    <row r="32" spans="1:20" ht="22.5" customHeight="1">
      <c r="A32" s="282"/>
      <c r="B32" s="444" t="s">
        <v>177</v>
      </c>
      <c r="C32" s="390"/>
      <c r="D32" s="442"/>
      <c r="E32" s="286">
        <f t="shared" ref="E32:T32" si="8">E31/10000000</f>
        <v>1.6706399999999999</v>
      </c>
      <c r="F32" s="287">
        <f t="shared" si="8"/>
        <v>1.6835</v>
      </c>
      <c r="G32" s="287">
        <f t="shared" si="8"/>
        <v>4.6970000000000001</v>
      </c>
      <c r="H32" s="288">
        <f t="shared" si="8"/>
        <v>7.8140000000000001</v>
      </c>
      <c r="I32" s="283">
        <f t="shared" si="8"/>
        <v>8.1355799999999991</v>
      </c>
      <c r="J32" s="284">
        <f t="shared" si="8"/>
        <v>8.984</v>
      </c>
      <c r="K32" s="284">
        <f t="shared" si="8"/>
        <v>10.46</v>
      </c>
      <c r="L32" s="285">
        <f t="shared" si="8"/>
        <v>12.718999999999999</v>
      </c>
      <c r="M32" s="286">
        <f t="shared" si="8"/>
        <v>15.966060000000001</v>
      </c>
      <c r="N32" s="287">
        <f t="shared" si="8"/>
        <v>20.081499999999998</v>
      </c>
      <c r="O32" s="287">
        <f t="shared" si="8"/>
        <v>23.020219999999998</v>
      </c>
      <c r="P32" s="288">
        <f t="shared" si="8"/>
        <v>25.964880000000001</v>
      </c>
      <c r="Q32" s="283">
        <f t="shared" si="8"/>
        <v>28.911840000000002</v>
      </c>
      <c r="R32" s="284">
        <f t="shared" si="8"/>
        <v>31.86476</v>
      </c>
      <c r="S32" s="284">
        <f t="shared" si="8"/>
        <v>34.819960000000002</v>
      </c>
      <c r="T32" s="284">
        <f t="shared" si="8"/>
        <v>37.781120000000001</v>
      </c>
    </row>
  </sheetData>
  <mergeCells count="52">
    <mergeCell ref="D2:D3"/>
    <mergeCell ref="A8:A9"/>
    <mergeCell ref="A2:A3"/>
    <mergeCell ref="D10:D12"/>
    <mergeCell ref="B2:B3"/>
    <mergeCell ref="A6:A7"/>
    <mergeCell ref="B8:B9"/>
    <mergeCell ref="C2:C3"/>
    <mergeCell ref="B6:B7"/>
    <mergeCell ref="A16:A18"/>
    <mergeCell ref="A13:A15"/>
    <mergeCell ref="B32:D32"/>
    <mergeCell ref="E10:E12"/>
    <mergeCell ref="P10:P12"/>
    <mergeCell ref="L26:L30"/>
    <mergeCell ref="F10:F12"/>
    <mergeCell ref="I26:I30"/>
    <mergeCell ref="M10:M12"/>
    <mergeCell ref="F26:F30"/>
    <mergeCell ref="J10:J12"/>
    <mergeCell ref="H26:H30"/>
    <mergeCell ref="L10:L12"/>
    <mergeCell ref="C10:C12"/>
    <mergeCell ref="A10:A12"/>
    <mergeCell ref="B31:D31"/>
    <mergeCell ref="E2:H2"/>
    <mergeCell ref="I2:L2"/>
    <mergeCell ref="G10:G12"/>
    <mergeCell ref="O10:O12"/>
    <mergeCell ref="K26:K30"/>
    <mergeCell ref="J26:J30"/>
    <mergeCell ref="P26:P30"/>
    <mergeCell ref="T10:T12"/>
    <mergeCell ref="Q26:Q30"/>
    <mergeCell ref="R26:R30"/>
    <mergeCell ref="T26:T30"/>
    <mergeCell ref="A1:T1"/>
    <mergeCell ref="S26:S30"/>
    <mergeCell ref="N26:N30"/>
    <mergeCell ref="R10:R12"/>
    <mergeCell ref="H10:H12"/>
    <mergeCell ref="S10:S12"/>
    <mergeCell ref="O26:O30"/>
    <mergeCell ref="Q10:Q12"/>
    <mergeCell ref="M26:M30"/>
    <mergeCell ref="Q2:T2"/>
    <mergeCell ref="E26:E30"/>
    <mergeCell ref="I10:I12"/>
    <mergeCell ref="K10:K12"/>
    <mergeCell ref="G26:G30"/>
    <mergeCell ref="M2:P2"/>
    <mergeCell ref="N10:N12"/>
  </mergeCells>
  <printOptions horizontalCentered="1"/>
  <pageMargins left="0.21259800000000001" right="0.21259800000000001" top="1" bottom="1" header="0" footer="0"/>
  <pageSetup paperSize="9" scale="60" fitToWidth="2" orientation="portrait" r:id="rId1"/>
  <headerFooter>
    <oddFooter>&amp;C&amp;"Helvetica Neue,Regular"&amp;10&amp;K000000000000&amp;P</oddFooter>
  </headerFooter>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
  <sheetViews>
    <sheetView showGridLines="0" workbookViewId="0">
      <selection sqref="A1:Q1"/>
    </sheetView>
  </sheetViews>
  <sheetFormatPr defaultColWidth="14.44140625" defaultRowHeight="15" customHeight="1"/>
  <cols>
    <col min="1" max="1" width="26" style="289" customWidth="1"/>
    <col min="2" max="17" width="5.77734375" style="289" customWidth="1"/>
    <col min="18" max="256" width="14.44140625" style="289" customWidth="1"/>
  </cols>
  <sheetData>
    <row r="1" spans="1:17" ht="27" customHeight="1">
      <c r="A1" s="383" t="s">
        <v>178</v>
      </c>
      <c r="B1" s="384"/>
      <c r="C1" s="384"/>
      <c r="D1" s="384"/>
      <c r="E1" s="384"/>
      <c r="F1" s="384"/>
      <c r="G1" s="384"/>
      <c r="H1" s="384"/>
      <c r="I1" s="384"/>
      <c r="J1" s="384"/>
      <c r="K1" s="384"/>
      <c r="L1" s="384"/>
      <c r="M1" s="384"/>
      <c r="N1" s="384"/>
      <c r="O1" s="384"/>
      <c r="P1" s="384"/>
      <c r="Q1" s="386"/>
    </row>
    <row r="2" spans="1:17" ht="20.25" customHeight="1">
      <c r="A2" s="224"/>
      <c r="B2" s="455" t="s">
        <v>1</v>
      </c>
      <c r="C2" s="414"/>
      <c r="D2" s="414"/>
      <c r="E2" s="456"/>
      <c r="F2" s="416" t="s">
        <v>2</v>
      </c>
      <c r="G2" s="414"/>
      <c r="H2" s="414"/>
      <c r="I2" s="456"/>
      <c r="J2" s="455" t="s">
        <v>3</v>
      </c>
      <c r="K2" s="414"/>
      <c r="L2" s="414"/>
      <c r="M2" s="456"/>
      <c r="N2" s="416" t="s">
        <v>4</v>
      </c>
      <c r="O2" s="414"/>
      <c r="P2" s="414"/>
      <c r="Q2" s="456"/>
    </row>
    <row r="3" spans="1:17" ht="20.25" customHeight="1">
      <c r="A3" s="290" t="s">
        <v>179</v>
      </c>
      <c r="B3" s="291" t="s">
        <v>5</v>
      </c>
      <c r="C3" s="292" t="s">
        <v>6</v>
      </c>
      <c r="D3" s="292" t="s">
        <v>7</v>
      </c>
      <c r="E3" s="292" t="s">
        <v>8</v>
      </c>
      <c r="F3" s="293" t="s">
        <v>5</v>
      </c>
      <c r="G3" s="293" t="s">
        <v>6</v>
      </c>
      <c r="H3" s="293" t="s">
        <v>7</v>
      </c>
      <c r="I3" s="293" t="s">
        <v>8</v>
      </c>
      <c r="J3" s="292" t="s">
        <v>5</v>
      </c>
      <c r="K3" s="292" t="s">
        <v>6</v>
      </c>
      <c r="L3" s="292" t="s">
        <v>7</v>
      </c>
      <c r="M3" s="292" t="s">
        <v>8</v>
      </c>
      <c r="N3" s="293" t="s">
        <v>5</v>
      </c>
      <c r="O3" s="293" t="s">
        <v>6</v>
      </c>
      <c r="P3" s="293" t="s">
        <v>7</v>
      </c>
      <c r="Q3" s="293" t="s">
        <v>8</v>
      </c>
    </row>
    <row r="4" spans="1:17" ht="19.5" customHeight="1">
      <c r="A4" s="104" t="s">
        <v>145</v>
      </c>
      <c r="B4" s="294">
        <f>'Marketing Cost - Marketing Cost'!E7/100000</f>
        <v>90</v>
      </c>
      <c r="C4" s="119">
        <f>'Marketing Cost - Marketing Cost'!F7/100000</f>
        <v>90</v>
      </c>
      <c r="D4" s="119">
        <f>'Marketing Cost - Marketing Cost'!G7/100000</f>
        <v>270</v>
      </c>
      <c r="E4" s="119">
        <f>'Marketing Cost - Marketing Cost'!H7/100000</f>
        <v>450</v>
      </c>
      <c r="F4" s="295">
        <f>'Marketing Cost - Marketing Cost'!I7/100000</f>
        <v>450</v>
      </c>
      <c r="G4" s="295">
        <f>'Marketing Cost - Marketing Cost'!J7/100000</f>
        <v>450</v>
      </c>
      <c r="H4" s="295">
        <f>'Marketing Cost - Marketing Cost'!K7/100000</f>
        <v>450</v>
      </c>
      <c r="I4" s="295">
        <f>'Marketing Cost - Marketing Cost'!L7/100000</f>
        <v>450</v>
      </c>
      <c r="J4" s="119">
        <f>'Marketing Cost - Marketing Cost'!M7/100000</f>
        <v>450</v>
      </c>
      <c r="K4" s="119">
        <f>'Marketing Cost - Marketing Cost'!N7/100000</f>
        <v>450</v>
      </c>
      <c r="L4" s="119">
        <f>'Marketing Cost - Marketing Cost'!O7/100000</f>
        <v>450</v>
      </c>
      <c r="M4" s="119">
        <f>'Marketing Cost - Marketing Cost'!P7/100000</f>
        <v>450</v>
      </c>
      <c r="N4" s="295">
        <f>'Marketing Cost - Marketing Cost'!Q7/100000</f>
        <v>450</v>
      </c>
      <c r="O4" s="295">
        <f>'Marketing Cost - Marketing Cost'!R7/100000</f>
        <v>450</v>
      </c>
      <c r="P4" s="295">
        <f>'Marketing Cost - Marketing Cost'!S7/100000</f>
        <v>450</v>
      </c>
      <c r="Q4" s="295">
        <f>'Marketing Cost - Marketing Cost'!T7/100000</f>
        <v>450</v>
      </c>
    </row>
    <row r="5" spans="1:17" ht="19.5" customHeight="1">
      <c r="A5" s="104" t="s">
        <v>149</v>
      </c>
      <c r="B5" s="294">
        <f>'Marketing Cost - Marketing Cost'!E9/100000</f>
        <v>60</v>
      </c>
      <c r="C5" s="119">
        <f>'Marketing Cost - Marketing Cost'!F9/100000</f>
        <v>60</v>
      </c>
      <c r="D5" s="119">
        <f>'Marketing Cost - Marketing Cost'!G9/100000</f>
        <v>180</v>
      </c>
      <c r="E5" s="119">
        <f>'Marketing Cost - Marketing Cost'!H9/100000</f>
        <v>300</v>
      </c>
      <c r="F5" s="295">
        <f>'Marketing Cost - Marketing Cost'!I9/100000</f>
        <v>300</v>
      </c>
      <c r="G5" s="295">
        <f>'Marketing Cost - Marketing Cost'!J9/100000</f>
        <v>300</v>
      </c>
      <c r="H5" s="295">
        <f>'Marketing Cost - Marketing Cost'!K9/100000</f>
        <v>300</v>
      </c>
      <c r="I5" s="295">
        <f>'Marketing Cost - Marketing Cost'!L9/100000</f>
        <v>300</v>
      </c>
      <c r="J5" s="119">
        <f>'Marketing Cost - Marketing Cost'!M9/100000</f>
        <v>300</v>
      </c>
      <c r="K5" s="119">
        <f>'Marketing Cost - Marketing Cost'!N9/100000</f>
        <v>300</v>
      </c>
      <c r="L5" s="119">
        <f>'Marketing Cost - Marketing Cost'!O9/100000</f>
        <v>300</v>
      </c>
      <c r="M5" s="119">
        <f>'Marketing Cost - Marketing Cost'!P9/100000</f>
        <v>300</v>
      </c>
      <c r="N5" s="295">
        <f>'Marketing Cost - Marketing Cost'!Q9/100000</f>
        <v>300</v>
      </c>
      <c r="O5" s="295">
        <f>'Marketing Cost - Marketing Cost'!R9/100000</f>
        <v>300</v>
      </c>
      <c r="P5" s="295">
        <f>'Marketing Cost - Marketing Cost'!S9/100000</f>
        <v>300</v>
      </c>
      <c r="Q5" s="295">
        <f>'Marketing Cost - Marketing Cost'!T9/100000</f>
        <v>300</v>
      </c>
    </row>
    <row r="6" spans="1:17" ht="19.5" customHeight="1">
      <c r="A6" s="104" t="s">
        <v>152</v>
      </c>
      <c r="B6" s="294">
        <f>'Marketing Cost - Marketing Cost'!E10/100000</f>
        <v>1</v>
      </c>
      <c r="C6" s="119">
        <f>'Marketing Cost - Marketing Cost'!F10/100000</f>
        <v>1</v>
      </c>
      <c r="D6" s="119">
        <f>'Marketing Cost - Marketing Cost'!G10/100000</f>
        <v>1</v>
      </c>
      <c r="E6" s="119">
        <f>'Marketing Cost - Marketing Cost'!H10/100000</f>
        <v>1</v>
      </c>
      <c r="F6" s="295">
        <f>'Marketing Cost - Marketing Cost'!I10/100000</f>
        <v>1</v>
      </c>
      <c r="G6" s="295">
        <f>'Marketing Cost - Marketing Cost'!J10/100000</f>
        <v>1</v>
      </c>
      <c r="H6" s="295">
        <f>'Marketing Cost - Marketing Cost'!K10/100000</f>
        <v>1</v>
      </c>
      <c r="I6" s="295">
        <f>'Marketing Cost - Marketing Cost'!L10/100000</f>
        <v>1</v>
      </c>
      <c r="J6" s="119">
        <f>'Marketing Cost - Marketing Cost'!M10/100000</f>
        <v>1</v>
      </c>
      <c r="K6" s="119">
        <f>'Marketing Cost - Marketing Cost'!N10/100000</f>
        <v>1</v>
      </c>
      <c r="L6" s="119">
        <f>'Marketing Cost - Marketing Cost'!O10/100000</f>
        <v>1</v>
      </c>
      <c r="M6" s="119">
        <f>'Marketing Cost - Marketing Cost'!P10/100000</f>
        <v>1</v>
      </c>
      <c r="N6" s="295">
        <f>'Marketing Cost - Marketing Cost'!Q10/100000</f>
        <v>1</v>
      </c>
      <c r="O6" s="295">
        <f>'Marketing Cost - Marketing Cost'!R10/100000</f>
        <v>1</v>
      </c>
      <c r="P6" s="295">
        <f>'Marketing Cost - Marketing Cost'!S10/100000</f>
        <v>1</v>
      </c>
      <c r="Q6" s="295">
        <f>'Marketing Cost - Marketing Cost'!T10/100000</f>
        <v>1</v>
      </c>
    </row>
    <row r="7" spans="1:17" ht="19.5" customHeight="1">
      <c r="A7" s="104" t="s">
        <v>157</v>
      </c>
      <c r="B7" s="294">
        <f>('Marketing Cost - Marketing Cost'!E14+'Marketing Cost - Marketing Cost'!E15)/100000</f>
        <v>0</v>
      </c>
      <c r="C7" s="119">
        <f>('Marketing Cost - Marketing Cost'!F14+'Marketing Cost - Marketing Cost'!F15)/100000</f>
        <v>1.35</v>
      </c>
      <c r="D7" s="119">
        <f>('Marketing Cost - Marketing Cost'!G14+'Marketing Cost - Marketing Cost'!G15)/100000</f>
        <v>2.7</v>
      </c>
      <c r="E7" s="119">
        <f>('Marketing Cost - Marketing Cost'!H14+'Marketing Cost - Marketing Cost'!H15)/100000</f>
        <v>14.4</v>
      </c>
      <c r="F7" s="295">
        <f>('Marketing Cost - Marketing Cost'!I14+'Marketing Cost - Marketing Cost'!I15)/100000</f>
        <v>45.9</v>
      </c>
      <c r="G7" s="295">
        <f>('Marketing Cost - Marketing Cost'!J14+'Marketing Cost - Marketing Cost'!J15)/100000</f>
        <v>131.4</v>
      </c>
      <c r="H7" s="295">
        <f>('Marketing Cost - Marketing Cost'!K14+'Marketing Cost - Marketing Cost'!K15)/100000</f>
        <v>279</v>
      </c>
      <c r="I7" s="295">
        <f>('Marketing Cost - Marketing Cost'!L14+'Marketing Cost - Marketing Cost'!L15)/100000</f>
        <v>504.9</v>
      </c>
      <c r="J7" s="119">
        <f>('Marketing Cost - Marketing Cost'!M14+'Marketing Cost - Marketing Cost'!M15)/100000</f>
        <v>825.3</v>
      </c>
      <c r="K7" s="119">
        <f>('Marketing Cost - Marketing Cost'!N14+'Marketing Cost - Marketing Cost'!N15)/100000</f>
        <v>1234.8</v>
      </c>
      <c r="L7" s="119">
        <f>('Marketing Cost - Marketing Cost'!O14+'Marketing Cost - Marketing Cost'!O15)/100000</f>
        <v>1526.4</v>
      </c>
      <c r="M7" s="119">
        <f>('Marketing Cost - Marketing Cost'!P14+'Marketing Cost - Marketing Cost'!P15)/100000</f>
        <v>1818</v>
      </c>
      <c r="N7" s="295">
        <f>('Marketing Cost - Marketing Cost'!Q14+'Marketing Cost - Marketing Cost'!Q15)/100000</f>
        <v>2109.6</v>
      </c>
      <c r="O7" s="295">
        <f>('Marketing Cost - Marketing Cost'!R14+'Marketing Cost - Marketing Cost'!R15)/100000</f>
        <v>2401.1999999999998</v>
      </c>
      <c r="P7" s="295">
        <f>('Marketing Cost - Marketing Cost'!S14+'Marketing Cost - Marketing Cost'!S15)/100000</f>
        <v>2692.8</v>
      </c>
      <c r="Q7" s="295">
        <f>('Marketing Cost - Marketing Cost'!T14+'Marketing Cost - Marketing Cost'!T15)/100000</f>
        <v>2984.4</v>
      </c>
    </row>
    <row r="8" spans="1:17" ht="19.5" customHeight="1">
      <c r="A8" s="104" t="s">
        <v>161</v>
      </c>
      <c r="B8" s="294">
        <f>'Marketing Cost - Marketing Cost'!E20/100000</f>
        <v>6.4000000000000001E-2</v>
      </c>
      <c r="C8" s="119">
        <f>'Marketing Cost - Marketing Cost'!F20/100000</f>
        <v>0</v>
      </c>
      <c r="D8" s="119">
        <f>'Marketing Cost - Marketing Cost'!G20/100000</f>
        <v>0</v>
      </c>
      <c r="E8" s="119">
        <f>'Marketing Cost - Marketing Cost'!H20/100000</f>
        <v>0</v>
      </c>
      <c r="F8" s="295">
        <f>'Marketing Cost - Marketing Cost'!I20/100000</f>
        <v>0.65800000000000003</v>
      </c>
      <c r="G8" s="295">
        <f>'Marketing Cost - Marketing Cost'!J20/100000</f>
        <v>0</v>
      </c>
      <c r="H8" s="295">
        <f>'Marketing Cost - Marketing Cost'!K20/100000</f>
        <v>0</v>
      </c>
      <c r="I8" s="295">
        <f>'Marketing Cost - Marketing Cost'!L20/100000</f>
        <v>0</v>
      </c>
      <c r="J8" s="119">
        <f>'Marketing Cost - Marketing Cost'!M20/100000</f>
        <v>4.306</v>
      </c>
      <c r="K8" s="119">
        <f>'Marketing Cost - Marketing Cost'!N20/100000</f>
        <v>6.35</v>
      </c>
      <c r="L8" s="119">
        <f>'Marketing Cost - Marketing Cost'!O20/100000</f>
        <v>8.6219999999999999</v>
      </c>
      <c r="M8" s="119">
        <f>'Marketing Cost - Marketing Cost'!P20/100000</f>
        <v>11.488</v>
      </c>
      <c r="N8" s="295">
        <f>'Marketing Cost - Marketing Cost'!Q20/100000</f>
        <v>14.584</v>
      </c>
      <c r="O8" s="295">
        <f>'Marketing Cost - Marketing Cost'!R20/100000</f>
        <v>18.276</v>
      </c>
      <c r="P8" s="295">
        <f>'Marketing Cost - Marketing Cost'!S20/100000</f>
        <v>22.196000000000002</v>
      </c>
      <c r="Q8" s="295">
        <f>'Marketing Cost - Marketing Cost'!T20/100000</f>
        <v>26.712</v>
      </c>
    </row>
    <row r="9" spans="1:17" ht="19.5" customHeight="1">
      <c r="A9" s="104" t="s">
        <v>168</v>
      </c>
      <c r="B9" s="294">
        <f>'Marketing Cost - Marketing Cost'!E24/100000</f>
        <v>6</v>
      </c>
      <c r="C9" s="119">
        <f>'Marketing Cost - Marketing Cost'!F24/100000</f>
        <v>6</v>
      </c>
      <c r="D9" s="119">
        <f>'Marketing Cost - Marketing Cost'!G24/100000</f>
        <v>6</v>
      </c>
      <c r="E9" s="119">
        <f>'Marketing Cost - Marketing Cost'!H24/100000</f>
        <v>6</v>
      </c>
      <c r="F9" s="295">
        <f>'Marketing Cost - Marketing Cost'!I24/100000</f>
        <v>6</v>
      </c>
      <c r="G9" s="295">
        <f>'Marketing Cost - Marketing Cost'!J24/100000</f>
        <v>6</v>
      </c>
      <c r="H9" s="295">
        <f>'Marketing Cost - Marketing Cost'!K24/100000</f>
        <v>6</v>
      </c>
      <c r="I9" s="295">
        <f>'Marketing Cost - Marketing Cost'!L24/100000</f>
        <v>6</v>
      </c>
      <c r="J9" s="119">
        <f>'Marketing Cost - Marketing Cost'!M24/100000</f>
        <v>6</v>
      </c>
      <c r="K9" s="119">
        <f>'Marketing Cost - Marketing Cost'!N24/100000</f>
        <v>6</v>
      </c>
      <c r="L9" s="119">
        <f>'Marketing Cost - Marketing Cost'!O24/100000</f>
        <v>6</v>
      </c>
      <c r="M9" s="119">
        <f>'Marketing Cost - Marketing Cost'!P24/100000</f>
        <v>6</v>
      </c>
      <c r="N9" s="295">
        <f>'Marketing Cost - Marketing Cost'!Q24/100000</f>
        <v>6</v>
      </c>
      <c r="O9" s="295">
        <f>'Marketing Cost - Marketing Cost'!R24/100000</f>
        <v>6</v>
      </c>
      <c r="P9" s="295">
        <f>'Marketing Cost - Marketing Cost'!S24/100000</f>
        <v>6</v>
      </c>
      <c r="Q9" s="295">
        <f>'Marketing Cost - Marketing Cost'!T24/100000</f>
        <v>6</v>
      </c>
    </row>
    <row r="10" spans="1:17" ht="19.5" customHeight="1">
      <c r="A10" s="104" t="s">
        <v>180</v>
      </c>
      <c r="B10" s="294">
        <f>'Marketing Cost - Marketing Cost'!E26/100000</f>
        <v>10</v>
      </c>
      <c r="C10" s="119">
        <f>'Marketing Cost - Marketing Cost'!F26/100000</f>
        <v>10</v>
      </c>
      <c r="D10" s="119">
        <f>'Marketing Cost - Marketing Cost'!G26/100000</f>
        <v>10</v>
      </c>
      <c r="E10" s="119">
        <f>'Marketing Cost - Marketing Cost'!H26/100000</f>
        <v>10</v>
      </c>
      <c r="F10" s="295">
        <f>'Marketing Cost - Marketing Cost'!I26/100000</f>
        <v>10</v>
      </c>
      <c r="G10" s="295">
        <f>'Marketing Cost - Marketing Cost'!J26/100000</f>
        <v>10</v>
      </c>
      <c r="H10" s="295">
        <f>'Marketing Cost - Marketing Cost'!K26/100000</f>
        <v>10</v>
      </c>
      <c r="I10" s="295">
        <f>'Marketing Cost - Marketing Cost'!L26/100000</f>
        <v>10</v>
      </c>
      <c r="J10" s="119">
        <f>'Marketing Cost - Marketing Cost'!M26/100000</f>
        <v>10</v>
      </c>
      <c r="K10" s="119">
        <f>'Marketing Cost - Marketing Cost'!N26/100000</f>
        <v>10</v>
      </c>
      <c r="L10" s="119">
        <f>'Marketing Cost - Marketing Cost'!O26/100000</f>
        <v>10</v>
      </c>
      <c r="M10" s="119">
        <f>'Marketing Cost - Marketing Cost'!P26/100000</f>
        <v>10</v>
      </c>
      <c r="N10" s="295">
        <f>'Marketing Cost - Marketing Cost'!Q26/100000</f>
        <v>10</v>
      </c>
      <c r="O10" s="295">
        <f>'Marketing Cost - Marketing Cost'!R26/100000</f>
        <v>10</v>
      </c>
      <c r="P10" s="295">
        <f>'Marketing Cost - Marketing Cost'!S26/100000</f>
        <v>10</v>
      </c>
      <c r="Q10" s="295">
        <f>'Marketing Cost - Marketing Cost'!T26/100000</f>
        <v>10</v>
      </c>
    </row>
    <row r="11" spans="1:17" ht="19.5" customHeight="1">
      <c r="A11" s="104" t="s">
        <v>181</v>
      </c>
      <c r="B11" s="294">
        <f t="shared" ref="B11:Q11" si="0">SUM(B4:B10)</f>
        <v>167.06399999999999</v>
      </c>
      <c r="C11" s="119">
        <f t="shared" si="0"/>
        <v>168.35</v>
      </c>
      <c r="D11" s="119">
        <f t="shared" si="0"/>
        <v>469.7</v>
      </c>
      <c r="E11" s="119">
        <f t="shared" si="0"/>
        <v>781.4</v>
      </c>
      <c r="F11" s="295">
        <f t="shared" si="0"/>
        <v>813.55799999999999</v>
      </c>
      <c r="G11" s="295">
        <f t="shared" si="0"/>
        <v>898.4</v>
      </c>
      <c r="H11" s="295">
        <f t="shared" si="0"/>
        <v>1046</v>
      </c>
      <c r="I11" s="295">
        <f t="shared" si="0"/>
        <v>1271.9000000000001</v>
      </c>
      <c r="J11" s="119">
        <f t="shared" si="0"/>
        <v>1596.606</v>
      </c>
      <c r="K11" s="119">
        <f t="shared" si="0"/>
        <v>2008.1499999999999</v>
      </c>
      <c r="L11" s="119">
        <f t="shared" si="0"/>
        <v>2302.0219999999999</v>
      </c>
      <c r="M11" s="119">
        <f t="shared" si="0"/>
        <v>2596.4879999999998</v>
      </c>
      <c r="N11" s="295">
        <f t="shared" si="0"/>
        <v>2891.1839999999997</v>
      </c>
      <c r="O11" s="295">
        <f t="shared" si="0"/>
        <v>3186.4759999999997</v>
      </c>
      <c r="P11" s="295">
        <f t="shared" si="0"/>
        <v>3481.9960000000001</v>
      </c>
      <c r="Q11" s="295">
        <f t="shared" si="0"/>
        <v>3778.1120000000001</v>
      </c>
    </row>
    <row r="12" spans="1:17" ht="19.5" customHeight="1">
      <c r="A12" s="104" t="s">
        <v>182</v>
      </c>
      <c r="B12" s="294">
        <f t="shared" ref="B12:Q12" si="1">B11/100</f>
        <v>1.6706399999999999</v>
      </c>
      <c r="C12" s="119">
        <f t="shared" si="1"/>
        <v>1.6835</v>
      </c>
      <c r="D12" s="119">
        <f t="shared" si="1"/>
        <v>4.6970000000000001</v>
      </c>
      <c r="E12" s="119">
        <f t="shared" si="1"/>
        <v>7.8140000000000001</v>
      </c>
      <c r="F12" s="295">
        <f t="shared" si="1"/>
        <v>8.1355799999999991</v>
      </c>
      <c r="G12" s="295">
        <f t="shared" si="1"/>
        <v>8.984</v>
      </c>
      <c r="H12" s="295">
        <f t="shared" si="1"/>
        <v>10.46</v>
      </c>
      <c r="I12" s="295">
        <f t="shared" si="1"/>
        <v>12.719000000000001</v>
      </c>
      <c r="J12" s="119">
        <f t="shared" si="1"/>
        <v>15.966060000000001</v>
      </c>
      <c r="K12" s="119">
        <f t="shared" si="1"/>
        <v>20.081499999999998</v>
      </c>
      <c r="L12" s="119">
        <f t="shared" si="1"/>
        <v>23.020219999999998</v>
      </c>
      <c r="M12" s="119">
        <f t="shared" si="1"/>
        <v>25.964879999999997</v>
      </c>
      <c r="N12" s="295">
        <f t="shared" si="1"/>
        <v>28.911839999999998</v>
      </c>
      <c r="O12" s="295">
        <f t="shared" si="1"/>
        <v>31.864759999999997</v>
      </c>
      <c r="P12" s="295">
        <f t="shared" si="1"/>
        <v>34.819960000000002</v>
      </c>
      <c r="Q12" s="295">
        <f t="shared" si="1"/>
        <v>37.781120000000001</v>
      </c>
    </row>
  </sheetData>
  <mergeCells count="5">
    <mergeCell ref="A1:Q1"/>
    <mergeCell ref="B2:E2"/>
    <mergeCell ref="F2:I2"/>
    <mergeCell ref="J2:M2"/>
    <mergeCell ref="N2:Q2"/>
  </mergeCells>
  <printOptions horizontalCentered="1"/>
  <pageMargins left="0.21259800000000001" right="0.21259800000000001" top="1" bottom="1" header="0" footer="0"/>
  <pageSetup scale="115" orientation="landscape" r:id="rId1"/>
  <headerFooter>
    <oddFooter>&amp;C&amp;"Helvetica Neue,Regular"&amp;10&amp;K000000000000&amp;P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7"/>
  <sheetViews>
    <sheetView showGridLines="0" workbookViewId="0"/>
  </sheetViews>
  <sheetFormatPr defaultColWidth="14.44140625" defaultRowHeight="15" customHeight="1"/>
  <cols>
    <col min="1" max="1" width="37.77734375" style="296" customWidth="1"/>
    <col min="2" max="2" width="16.88671875" style="296" customWidth="1"/>
    <col min="3" max="3" width="7.44140625" style="296" customWidth="1"/>
    <col min="4" max="18" width="6.44140625" style="296" customWidth="1"/>
    <col min="19" max="19" width="6.21875" style="296" customWidth="1"/>
    <col min="20" max="256" width="14.44140625" style="296" customWidth="1"/>
  </cols>
  <sheetData>
    <row r="1" spans="1:19" ht="27" customHeight="1">
      <c r="A1" s="383" t="s">
        <v>183</v>
      </c>
      <c r="B1" s="384"/>
      <c r="C1" s="384"/>
      <c r="D1" s="384"/>
      <c r="E1" s="384"/>
      <c r="F1" s="384"/>
      <c r="G1" s="384"/>
      <c r="H1" s="384"/>
      <c r="I1" s="384"/>
      <c r="J1" s="384"/>
      <c r="K1" s="384"/>
      <c r="L1" s="384"/>
      <c r="M1" s="384"/>
      <c r="N1" s="384"/>
      <c r="O1" s="384"/>
      <c r="P1" s="384"/>
      <c r="Q1" s="384"/>
      <c r="R1" s="384"/>
      <c r="S1" s="386"/>
    </row>
    <row r="2" spans="1:19" ht="19.5" customHeight="1">
      <c r="A2" s="402"/>
      <c r="B2" s="459"/>
      <c r="C2" s="458"/>
      <c r="D2" s="460" t="s">
        <v>1</v>
      </c>
      <c r="E2" s="390"/>
      <c r="F2" s="390"/>
      <c r="G2" s="391"/>
      <c r="H2" s="461" t="s">
        <v>2</v>
      </c>
      <c r="I2" s="390"/>
      <c r="J2" s="390"/>
      <c r="K2" s="391"/>
      <c r="L2" s="460" t="s">
        <v>3</v>
      </c>
      <c r="M2" s="390"/>
      <c r="N2" s="390"/>
      <c r="O2" s="391"/>
      <c r="P2" s="461" t="s">
        <v>4</v>
      </c>
      <c r="Q2" s="390"/>
      <c r="R2" s="390"/>
      <c r="S2" s="391"/>
    </row>
    <row r="3" spans="1:19" ht="19.5" customHeight="1">
      <c r="A3" s="397"/>
      <c r="B3" s="397"/>
      <c r="C3" s="397"/>
      <c r="D3" s="297" t="s">
        <v>5</v>
      </c>
      <c r="E3" s="297" t="s">
        <v>6</v>
      </c>
      <c r="F3" s="297" t="s">
        <v>7</v>
      </c>
      <c r="G3" s="297" t="s">
        <v>8</v>
      </c>
      <c r="H3" s="298" t="s">
        <v>5</v>
      </c>
      <c r="I3" s="298" t="s">
        <v>6</v>
      </c>
      <c r="J3" s="298" t="s">
        <v>7</v>
      </c>
      <c r="K3" s="298" t="s">
        <v>8</v>
      </c>
      <c r="L3" s="297" t="s">
        <v>5</v>
      </c>
      <c r="M3" s="297" t="s">
        <v>6</v>
      </c>
      <c r="N3" s="297" t="s">
        <v>7</v>
      </c>
      <c r="O3" s="297" t="s">
        <v>8</v>
      </c>
      <c r="P3" s="298" t="s">
        <v>5</v>
      </c>
      <c r="Q3" s="298" t="s">
        <v>6</v>
      </c>
      <c r="R3" s="298" t="s">
        <v>7</v>
      </c>
      <c r="S3" s="298" t="s">
        <v>8</v>
      </c>
    </row>
    <row r="4" spans="1:19" ht="36.75" customHeight="1">
      <c r="A4" s="299" t="s">
        <v>184</v>
      </c>
      <c r="B4" s="300" t="s">
        <v>185</v>
      </c>
      <c r="C4" s="99"/>
      <c r="D4" s="301">
        <v>3600000</v>
      </c>
      <c r="E4" s="301">
        <v>3600000</v>
      </c>
      <c r="F4" s="301">
        <v>3600000</v>
      </c>
      <c r="G4" s="301">
        <v>3600000</v>
      </c>
      <c r="H4" s="302">
        <v>3600000</v>
      </c>
      <c r="I4" s="302">
        <v>3600000</v>
      </c>
      <c r="J4" s="302">
        <v>3600000</v>
      </c>
      <c r="K4" s="302">
        <v>3600000</v>
      </c>
      <c r="L4" s="301">
        <v>3600000</v>
      </c>
      <c r="M4" s="301">
        <v>3600000</v>
      </c>
      <c r="N4" s="301">
        <v>3600000</v>
      </c>
      <c r="O4" s="301">
        <v>3600000</v>
      </c>
      <c r="P4" s="303"/>
      <c r="Q4" s="303"/>
      <c r="R4" s="303"/>
      <c r="S4" s="303"/>
    </row>
    <row r="5" spans="1:19" ht="19.5" customHeight="1">
      <c r="A5" s="304" t="s">
        <v>186</v>
      </c>
      <c r="B5" s="305"/>
      <c r="C5" s="114"/>
      <c r="D5" s="306"/>
      <c r="E5" s="306"/>
      <c r="F5" s="306"/>
      <c r="G5" s="306"/>
      <c r="H5" s="307"/>
      <c r="I5" s="307"/>
      <c r="J5" s="307"/>
      <c r="K5" s="307"/>
      <c r="L5" s="306"/>
      <c r="M5" s="306"/>
      <c r="N5" s="306"/>
      <c r="O5" s="306"/>
      <c r="P5" s="307"/>
      <c r="Q5" s="307"/>
      <c r="R5" s="307"/>
      <c r="S5" s="307"/>
    </row>
    <row r="6" spans="1:19" ht="19.5" customHeight="1">
      <c r="A6" s="104" t="s">
        <v>187</v>
      </c>
      <c r="B6" s="305"/>
      <c r="C6" s="108">
        <v>3</v>
      </c>
      <c r="D6" s="306"/>
      <c r="E6" s="306"/>
      <c r="F6" s="306"/>
      <c r="G6" s="306"/>
      <c r="H6" s="307"/>
      <c r="I6" s="307"/>
      <c r="J6" s="307"/>
      <c r="K6" s="307"/>
      <c r="L6" s="306"/>
      <c r="M6" s="306"/>
      <c r="N6" s="306"/>
      <c r="O6" s="306"/>
      <c r="P6" s="307"/>
      <c r="Q6" s="307"/>
      <c r="R6" s="307"/>
      <c r="S6" s="307"/>
    </row>
    <row r="7" spans="1:19" ht="19.5" customHeight="1">
      <c r="A7" s="104" t="s">
        <v>188</v>
      </c>
      <c r="B7" s="305"/>
      <c r="C7" s="108">
        <v>2</v>
      </c>
      <c r="D7" s="306"/>
      <c r="E7" s="306"/>
      <c r="F7" s="306"/>
      <c r="G7" s="306"/>
      <c r="H7" s="307"/>
      <c r="I7" s="307"/>
      <c r="J7" s="307"/>
      <c r="K7" s="307"/>
      <c r="L7" s="306"/>
      <c r="M7" s="306"/>
      <c r="N7" s="306"/>
      <c r="O7" s="306"/>
      <c r="P7" s="307"/>
      <c r="Q7" s="307"/>
      <c r="R7" s="307"/>
      <c r="S7" s="307"/>
    </row>
    <row r="8" spans="1:19" ht="19.5" customHeight="1">
      <c r="A8" s="104" t="s">
        <v>189</v>
      </c>
      <c r="B8" s="305"/>
      <c r="C8" s="108">
        <v>1</v>
      </c>
      <c r="D8" s="306"/>
      <c r="E8" s="306"/>
      <c r="F8" s="306"/>
      <c r="G8" s="306"/>
      <c r="H8" s="307"/>
      <c r="I8" s="307"/>
      <c r="J8" s="307"/>
      <c r="K8" s="307"/>
      <c r="L8" s="306"/>
      <c r="M8" s="306"/>
      <c r="N8" s="306"/>
      <c r="O8" s="306"/>
      <c r="P8" s="307"/>
      <c r="Q8" s="307"/>
      <c r="R8" s="307"/>
      <c r="S8" s="307"/>
    </row>
    <row r="9" spans="1:19" ht="19.5" customHeight="1">
      <c r="A9" s="104" t="s">
        <v>190</v>
      </c>
      <c r="B9" s="305"/>
      <c r="C9" s="108">
        <v>1</v>
      </c>
      <c r="D9" s="306"/>
      <c r="E9" s="306"/>
      <c r="F9" s="306"/>
      <c r="G9" s="306"/>
      <c r="H9" s="307"/>
      <c r="I9" s="307"/>
      <c r="J9" s="307"/>
      <c r="K9" s="307"/>
      <c r="L9" s="306"/>
      <c r="M9" s="306"/>
      <c r="N9" s="306"/>
      <c r="O9" s="306"/>
      <c r="P9" s="307"/>
      <c r="Q9" s="307"/>
      <c r="R9" s="307"/>
      <c r="S9" s="307"/>
    </row>
    <row r="10" spans="1:19" ht="19.5" customHeight="1">
      <c r="A10" s="104" t="s">
        <v>191</v>
      </c>
      <c r="B10" s="305"/>
      <c r="C10" s="108">
        <v>3</v>
      </c>
      <c r="D10" s="306"/>
      <c r="E10" s="306"/>
      <c r="F10" s="306"/>
      <c r="G10" s="306"/>
      <c r="H10" s="307"/>
      <c r="I10" s="307"/>
      <c r="J10" s="307"/>
      <c r="K10" s="307"/>
      <c r="L10" s="306"/>
      <c r="M10" s="306"/>
      <c r="N10" s="306"/>
      <c r="O10" s="306"/>
      <c r="P10" s="307"/>
      <c r="Q10" s="307"/>
      <c r="R10" s="307"/>
      <c r="S10" s="307"/>
    </row>
    <row r="11" spans="1:19" ht="19.5" customHeight="1">
      <c r="A11" s="155"/>
      <c r="B11" s="308" t="s">
        <v>192</v>
      </c>
      <c r="C11" s="108">
        <f>SUM(C6:C10)</f>
        <v>10</v>
      </c>
      <c r="D11" s="306"/>
      <c r="E11" s="306"/>
      <c r="F11" s="306"/>
      <c r="G11" s="306"/>
      <c r="H11" s="307"/>
      <c r="I11" s="307"/>
      <c r="J11" s="307"/>
      <c r="K11" s="307"/>
      <c r="L11" s="306"/>
      <c r="M11" s="306"/>
      <c r="N11" s="306"/>
      <c r="O11" s="306"/>
      <c r="P11" s="307"/>
      <c r="Q11" s="307"/>
      <c r="R11" s="307"/>
      <c r="S11" s="307"/>
    </row>
    <row r="12" spans="1:19" ht="19.5" customHeight="1">
      <c r="A12" s="104" t="s">
        <v>193</v>
      </c>
      <c r="B12" s="308" t="s">
        <v>194</v>
      </c>
      <c r="C12" s="108">
        <f>C11*3*100000</f>
        <v>3000000</v>
      </c>
      <c r="D12" s="309">
        <f t="shared" ref="D12:S12" si="0">C12</f>
        <v>3000000</v>
      </c>
      <c r="E12" s="309">
        <f t="shared" si="0"/>
        <v>3000000</v>
      </c>
      <c r="F12" s="309">
        <f t="shared" si="0"/>
        <v>3000000</v>
      </c>
      <c r="G12" s="309">
        <f t="shared" si="0"/>
        <v>3000000</v>
      </c>
      <c r="H12" s="310">
        <f t="shared" si="0"/>
        <v>3000000</v>
      </c>
      <c r="I12" s="310">
        <f t="shared" si="0"/>
        <v>3000000</v>
      </c>
      <c r="J12" s="310">
        <f t="shared" si="0"/>
        <v>3000000</v>
      </c>
      <c r="K12" s="310">
        <f t="shared" si="0"/>
        <v>3000000</v>
      </c>
      <c r="L12" s="309">
        <f t="shared" si="0"/>
        <v>3000000</v>
      </c>
      <c r="M12" s="309">
        <f t="shared" si="0"/>
        <v>3000000</v>
      </c>
      <c r="N12" s="309">
        <f t="shared" si="0"/>
        <v>3000000</v>
      </c>
      <c r="O12" s="309">
        <f t="shared" si="0"/>
        <v>3000000</v>
      </c>
      <c r="P12" s="310">
        <f t="shared" si="0"/>
        <v>3000000</v>
      </c>
      <c r="Q12" s="310">
        <f t="shared" si="0"/>
        <v>3000000</v>
      </c>
      <c r="R12" s="310">
        <f t="shared" si="0"/>
        <v>3000000</v>
      </c>
      <c r="S12" s="310">
        <f t="shared" si="0"/>
        <v>3000000</v>
      </c>
    </row>
    <row r="13" spans="1:19" ht="19.5" customHeight="1">
      <c r="A13" s="304" t="s">
        <v>195</v>
      </c>
      <c r="B13" s="305"/>
      <c r="C13" s="114"/>
      <c r="D13" s="306"/>
      <c r="E13" s="306"/>
      <c r="F13" s="306"/>
      <c r="G13" s="306"/>
      <c r="H13" s="307"/>
      <c r="I13" s="307"/>
      <c r="J13" s="307"/>
      <c r="K13" s="307"/>
      <c r="L13" s="306"/>
      <c r="M13" s="306"/>
      <c r="N13" s="306"/>
      <c r="O13" s="306"/>
      <c r="P13" s="307"/>
      <c r="Q13" s="307"/>
      <c r="R13" s="307"/>
      <c r="S13" s="307"/>
    </row>
    <row r="14" spans="1:19" ht="19.5" customHeight="1">
      <c r="A14" s="155"/>
      <c r="B14" s="308" t="s">
        <v>196</v>
      </c>
      <c r="C14" s="114"/>
      <c r="D14" s="295">
        <f>'Revenue Projection'!D34*90*'Revenue Projection'!D16</f>
        <v>0</v>
      </c>
      <c r="E14" s="295">
        <f>'Revenue Projection'!E34*90*'Revenue Projection'!E16</f>
        <v>24300</v>
      </c>
      <c r="F14" s="295">
        <f>'Revenue Projection'!F34*90*'Revenue Projection'!F16</f>
        <v>72900</v>
      </c>
      <c r="G14" s="295">
        <f>'Revenue Projection'!G34*90*'Revenue Projection'!G16</f>
        <v>332100</v>
      </c>
      <c r="H14" s="311">
        <f>'Revenue Projection'!H34*90*'Revenue Projection'!H16</f>
        <v>1158300</v>
      </c>
      <c r="I14" s="311">
        <f>'Revenue Projection'!I34*90*'Revenue Projection'!I16</f>
        <v>3523500</v>
      </c>
      <c r="J14" s="311">
        <f>'Revenue Projection'!J34*90*'Revenue Projection'!J16</f>
        <v>8545500</v>
      </c>
      <c r="K14" s="311">
        <f>'Revenue Projection'!K34*90*'Revenue Projection'!K16</f>
        <v>17633700</v>
      </c>
      <c r="L14" s="295">
        <f>'Revenue Projection'!L34*90*'Revenue Projection'!L16</f>
        <v>32489100</v>
      </c>
      <c r="M14" s="295">
        <f>'Revenue Projection'!M34*90*'Revenue Projection'!M16</f>
        <v>54715500</v>
      </c>
      <c r="N14" s="295">
        <f>'Revenue Projection'!N34*90*'Revenue Projection'!N16</f>
        <v>82190700</v>
      </c>
      <c r="O14" s="295">
        <f>'Revenue Projection'!O34*90*'Revenue Projection'!O16</f>
        <v>114914700</v>
      </c>
      <c r="P14" s="311">
        <f>'Revenue Projection'!P34*90*'Revenue Projection'!P16</f>
        <v>152887500</v>
      </c>
      <c r="Q14" s="311">
        <f>'Revenue Projection'!Q34*90*'Revenue Projection'!Q16</f>
        <v>196109100</v>
      </c>
      <c r="R14" s="311">
        <f>'Revenue Projection'!R34*90*'Revenue Projection'!R16</f>
        <v>244579500</v>
      </c>
      <c r="S14" s="311">
        <f>'Revenue Projection'!S34*90*'Revenue Projection'!S16</f>
        <v>298298700</v>
      </c>
    </row>
    <row r="15" spans="1:19" ht="19.5" customHeight="1">
      <c r="A15" s="104" t="s">
        <v>197</v>
      </c>
      <c r="B15" s="308" t="s">
        <v>198</v>
      </c>
      <c r="C15" s="108">
        <v>0.2</v>
      </c>
      <c r="D15" s="295">
        <f t="shared" ref="D15:S15" si="1">$C$15*D14</f>
        <v>0</v>
      </c>
      <c r="E15" s="295">
        <f t="shared" si="1"/>
        <v>4860</v>
      </c>
      <c r="F15" s="295">
        <f t="shared" si="1"/>
        <v>14580</v>
      </c>
      <c r="G15" s="295">
        <f t="shared" si="1"/>
        <v>66420</v>
      </c>
      <c r="H15" s="311">
        <f t="shared" si="1"/>
        <v>231660</v>
      </c>
      <c r="I15" s="311">
        <f t="shared" si="1"/>
        <v>704700</v>
      </c>
      <c r="J15" s="311">
        <f t="shared" si="1"/>
        <v>1709100</v>
      </c>
      <c r="K15" s="311">
        <f t="shared" si="1"/>
        <v>3526740</v>
      </c>
      <c r="L15" s="295">
        <f t="shared" si="1"/>
        <v>6497820</v>
      </c>
      <c r="M15" s="295">
        <f t="shared" si="1"/>
        <v>10943100</v>
      </c>
      <c r="N15" s="295">
        <f t="shared" si="1"/>
        <v>16438140</v>
      </c>
      <c r="O15" s="295">
        <f t="shared" si="1"/>
        <v>22982940</v>
      </c>
      <c r="P15" s="311">
        <f t="shared" si="1"/>
        <v>30577500</v>
      </c>
      <c r="Q15" s="311">
        <f t="shared" si="1"/>
        <v>39221820</v>
      </c>
      <c r="R15" s="311">
        <f t="shared" si="1"/>
        <v>48915900</v>
      </c>
      <c r="S15" s="311">
        <f t="shared" si="1"/>
        <v>59659740</v>
      </c>
    </row>
    <row r="16" spans="1:19" ht="19.5" customHeight="1">
      <c r="A16" s="155"/>
      <c r="B16" s="457" t="s">
        <v>199</v>
      </c>
      <c r="C16" s="391"/>
      <c r="D16" s="136">
        <f t="shared" ref="D16:S16" si="2">D4+D12+D15</f>
        <v>6600000</v>
      </c>
      <c r="E16" s="136">
        <f t="shared" si="2"/>
        <v>6604860</v>
      </c>
      <c r="F16" s="136">
        <f t="shared" si="2"/>
        <v>6614580</v>
      </c>
      <c r="G16" s="136">
        <f t="shared" si="2"/>
        <v>6666420</v>
      </c>
      <c r="H16" s="136">
        <f t="shared" si="2"/>
        <v>6831660</v>
      </c>
      <c r="I16" s="136">
        <f t="shared" si="2"/>
        <v>7304700</v>
      </c>
      <c r="J16" s="136">
        <f t="shared" si="2"/>
        <v>8309100</v>
      </c>
      <c r="K16" s="136">
        <f t="shared" si="2"/>
        <v>10126740</v>
      </c>
      <c r="L16" s="136">
        <f t="shared" si="2"/>
        <v>13097820</v>
      </c>
      <c r="M16" s="136">
        <f t="shared" si="2"/>
        <v>17543100</v>
      </c>
      <c r="N16" s="136">
        <f t="shared" si="2"/>
        <v>23038140</v>
      </c>
      <c r="O16" s="136">
        <f t="shared" si="2"/>
        <v>29582940</v>
      </c>
      <c r="P16" s="136">
        <f t="shared" si="2"/>
        <v>33577500</v>
      </c>
      <c r="Q16" s="136">
        <f t="shared" si="2"/>
        <v>42221820</v>
      </c>
      <c r="R16" s="136">
        <f t="shared" si="2"/>
        <v>51915900</v>
      </c>
      <c r="S16" s="136">
        <f t="shared" si="2"/>
        <v>62659740</v>
      </c>
    </row>
    <row r="17" spans="1:19" ht="19.5" customHeight="1">
      <c r="A17" s="155"/>
      <c r="B17" s="457" t="s">
        <v>200</v>
      </c>
      <c r="C17" s="391"/>
      <c r="D17" s="312">
        <f t="shared" ref="D17:S17" si="3">D16/10000000</f>
        <v>0.66</v>
      </c>
      <c r="E17" s="312">
        <f t="shared" si="3"/>
        <v>0.66048600000000002</v>
      </c>
      <c r="F17" s="312">
        <f t="shared" si="3"/>
        <v>0.66145799999999999</v>
      </c>
      <c r="G17" s="312">
        <f t="shared" si="3"/>
        <v>0.66664199999999996</v>
      </c>
      <c r="H17" s="312">
        <f t="shared" si="3"/>
        <v>0.68316600000000005</v>
      </c>
      <c r="I17" s="312">
        <f t="shared" si="3"/>
        <v>0.73046999999999995</v>
      </c>
      <c r="J17" s="312">
        <f t="shared" si="3"/>
        <v>0.83091000000000004</v>
      </c>
      <c r="K17" s="312">
        <f t="shared" si="3"/>
        <v>1.0126740000000001</v>
      </c>
      <c r="L17" s="312">
        <f t="shared" si="3"/>
        <v>1.309782</v>
      </c>
      <c r="M17" s="312">
        <f t="shared" si="3"/>
        <v>1.75431</v>
      </c>
      <c r="N17" s="312">
        <f t="shared" si="3"/>
        <v>2.303814</v>
      </c>
      <c r="O17" s="312">
        <f t="shared" si="3"/>
        <v>2.958294</v>
      </c>
      <c r="P17" s="312">
        <f t="shared" si="3"/>
        <v>3.3577499999999998</v>
      </c>
      <c r="Q17" s="312">
        <f t="shared" si="3"/>
        <v>4.2221820000000001</v>
      </c>
      <c r="R17" s="312">
        <f t="shared" si="3"/>
        <v>5.1915899999999997</v>
      </c>
      <c r="S17" s="312">
        <f t="shared" si="3"/>
        <v>6.2659739999999999</v>
      </c>
    </row>
  </sheetData>
  <mergeCells count="10">
    <mergeCell ref="B16:C16"/>
    <mergeCell ref="C2:C3"/>
    <mergeCell ref="B17:C17"/>
    <mergeCell ref="A1:S1"/>
    <mergeCell ref="B2:B3"/>
    <mergeCell ref="A2:A3"/>
    <mergeCell ref="L2:O2"/>
    <mergeCell ref="D2:G2"/>
    <mergeCell ref="P2:S2"/>
    <mergeCell ref="H2:K2"/>
  </mergeCells>
  <pageMargins left="0.19685" right="0.19685" top="1" bottom="1" header="0" footer="0"/>
  <pageSetup orientation="landscape"/>
  <headerFooter>
    <oddFooter>&amp;C&amp;"Helvetica Neue,Regular"&amp;10&amp;K000000000000&amp;P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6"/>
  <sheetViews>
    <sheetView showGridLines="0" workbookViewId="0"/>
  </sheetViews>
  <sheetFormatPr defaultColWidth="14.44140625" defaultRowHeight="15" customHeight="1"/>
  <cols>
    <col min="1" max="1" width="43.21875" style="313" customWidth="1"/>
    <col min="2" max="2" width="17.33203125" style="313" customWidth="1"/>
    <col min="3" max="19" width="6.44140625" style="313" customWidth="1"/>
    <col min="20" max="256" width="14.44140625" style="313" customWidth="1"/>
  </cols>
  <sheetData>
    <row r="1" spans="1:19" ht="27" customHeight="1">
      <c r="A1" s="383" t="s">
        <v>201</v>
      </c>
      <c r="B1" s="384"/>
      <c r="C1" s="384"/>
      <c r="D1" s="466"/>
      <c r="E1" s="466"/>
      <c r="F1" s="466"/>
      <c r="G1" s="466"/>
      <c r="H1" s="384"/>
      <c r="I1" s="384"/>
      <c r="J1" s="384"/>
      <c r="K1" s="384"/>
      <c r="L1" s="466"/>
      <c r="M1" s="466"/>
      <c r="N1" s="466"/>
      <c r="O1" s="466"/>
      <c r="P1" s="384"/>
      <c r="Q1" s="384"/>
      <c r="R1" s="384"/>
      <c r="S1" s="386"/>
    </row>
    <row r="2" spans="1:19" ht="19.5" customHeight="1">
      <c r="A2" s="402"/>
      <c r="B2" s="469"/>
      <c r="C2" s="467"/>
      <c r="D2" s="468" t="s">
        <v>1</v>
      </c>
      <c r="E2" s="390"/>
      <c r="F2" s="390"/>
      <c r="G2" s="442"/>
      <c r="H2" s="462" t="s">
        <v>2</v>
      </c>
      <c r="I2" s="390"/>
      <c r="J2" s="390"/>
      <c r="K2" s="442"/>
      <c r="L2" s="468" t="s">
        <v>3</v>
      </c>
      <c r="M2" s="390"/>
      <c r="N2" s="390"/>
      <c r="O2" s="442"/>
      <c r="P2" s="462" t="s">
        <v>4</v>
      </c>
      <c r="Q2" s="390"/>
      <c r="R2" s="390"/>
      <c r="S2" s="391"/>
    </row>
    <row r="3" spans="1:19" ht="19.5" customHeight="1">
      <c r="A3" s="397"/>
      <c r="B3" s="397"/>
      <c r="C3" s="448"/>
      <c r="D3" s="314" t="s">
        <v>5</v>
      </c>
      <c r="E3" s="297" t="s">
        <v>6</v>
      </c>
      <c r="F3" s="297" t="s">
        <v>7</v>
      </c>
      <c r="G3" s="315" t="s">
        <v>8</v>
      </c>
      <c r="H3" s="316" t="s">
        <v>5</v>
      </c>
      <c r="I3" s="317" t="s">
        <v>6</v>
      </c>
      <c r="J3" s="317" t="s">
        <v>7</v>
      </c>
      <c r="K3" s="318" t="s">
        <v>8</v>
      </c>
      <c r="L3" s="314" t="s">
        <v>5</v>
      </c>
      <c r="M3" s="297" t="s">
        <v>6</v>
      </c>
      <c r="N3" s="297" t="s">
        <v>7</v>
      </c>
      <c r="O3" s="315" t="s">
        <v>8</v>
      </c>
      <c r="P3" s="316" t="s">
        <v>5</v>
      </c>
      <c r="Q3" s="317" t="s">
        <v>6</v>
      </c>
      <c r="R3" s="317" t="s">
        <v>7</v>
      </c>
      <c r="S3" s="317" t="s">
        <v>8</v>
      </c>
    </row>
    <row r="4" spans="1:19" ht="20.25" customHeight="1">
      <c r="A4" s="319" t="s">
        <v>202</v>
      </c>
      <c r="B4" s="320"/>
      <c r="C4" s="321"/>
      <c r="D4" s="322">
        <f>'Revenue Projection'!D10</f>
        <v>6</v>
      </c>
      <c r="E4" s="301">
        <f>'Revenue Projection'!E10</f>
        <v>6</v>
      </c>
      <c r="F4" s="301">
        <f>'Revenue Projection'!F10</f>
        <v>10</v>
      </c>
      <c r="G4" s="323">
        <f>'Revenue Projection'!G10</f>
        <v>18</v>
      </c>
      <c r="H4" s="324">
        <f>'Revenue Projection'!H10</f>
        <v>26</v>
      </c>
      <c r="I4" s="325">
        <f>'Revenue Projection'!I10</f>
        <v>34</v>
      </c>
      <c r="J4" s="325">
        <f>'Revenue Projection'!J10</f>
        <v>42</v>
      </c>
      <c r="K4" s="326">
        <f>'Revenue Projection'!K10</f>
        <v>50</v>
      </c>
      <c r="L4" s="322">
        <f>'Revenue Projection'!L10</f>
        <v>54</v>
      </c>
      <c r="M4" s="301">
        <f>'Revenue Projection'!M10</f>
        <v>54</v>
      </c>
      <c r="N4" s="301">
        <f>'Revenue Projection'!N10</f>
        <v>54</v>
      </c>
      <c r="O4" s="323">
        <f>'Revenue Projection'!O10</f>
        <v>54</v>
      </c>
      <c r="P4" s="324">
        <f>'Revenue Projection'!P10</f>
        <v>54</v>
      </c>
      <c r="Q4" s="325">
        <f>'Revenue Projection'!Q10</f>
        <v>54</v>
      </c>
      <c r="R4" s="325">
        <f>'Revenue Projection'!R10</f>
        <v>54</v>
      </c>
      <c r="S4" s="325">
        <f>'Revenue Projection'!S10</f>
        <v>54</v>
      </c>
    </row>
    <row r="5" spans="1:19" ht="19.5" customHeight="1">
      <c r="A5" s="104" t="str">
        <f>'Revenue Projection'!$A12</f>
        <v>Acquired Partner Count</v>
      </c>
      <c r="B5" s="327"/>
      <c r="C5" s="328"/>
      <c r="D5" s="329">
        <f>'Revenue Projection'!D12</f>
        <v>18</v>
      </c>
      <c r="E5" s="295">
        <f>'Revenue Projection'!E12</f>
        <v>18</v>
      </c>
      <c r="F5" s="295">
        <f>'Revenue Projection'!F12</f>
        <v>60</v>
      </c>
      <c r="G5" s="330">
        <f>'Revenue Projection'!G12</f>
        <v>108</v>
      </c>
      <c r="H5" s="331">
        <f>'Revenue Projection'!H12</f>
        <v>234</v>
      </c>
      <c r="I5" s="119">
        <f>'Revenue Projection'!I12</f>
        <v>306</v>
      </c>
      <c r="J5" s="119">
        <f>'Revenue Projection'!J12</f>
        <v>378</v>
      </c>
      <c r="K5" s="332">
        <f>'Revenue Projection'!K12</f>
        <v>450</v>
      </c>
      <c r="L5" s="329">
        <f>'Revenue Projection'!L12</f>
        <v>486</v>
      </c>
      <c r="M5" s="295">
        <f>'Revenue Projection'!M12</f>
        <v>486</v>
      </c>
      <c r="N5" s="295">
        <f>'Revenue Projection'!N12</f>
        <v>486</v>
      </c>
      <c r="O5" s="330">
        <f>'Revenue Projection'!O12</f>
        <v>486</v>
      </c>
      <c r="P5" s="331">
        <f>'Revenue Projection'!P12</f>
        <v>486</v>
      </c>
      <c r="Q5" s="119">
        <f>'Revenue Projection'!Q12</f>
        <v>486</v>
      </c>
      <c r="R5" s="119">
        <f>'Revenue Projection'!R12</f>
        <v>486</v>
      </c>
      <c r="S5" s="119">
        <f>'Revenue Projection'!S12</f>
        <v>486</v>
      </c>
    </row>
    <row r="6" spans="1:19" ht="19.5" customHeight="1">
      <c r="A6" s="104" t="str">
        <f>'Revenue Projection'!$A13</f>
        <v>Cumulative Partner Counts</v>
      </c>
      <c r="B6" s="327"/>
      <c r="C6" s="328"/>
      <c r="D6" s="329">
        <f>'Revenue Projection'!D13</f>
        <v>18</v>
      </c>
      <c r="E6" s="295">
        <f>'Revenue Projection'!E13</f>
        <v>36</v>
      </c>
      <c r="F6" s="295">
        <f>'Revenue Projection'!F13</f>
        <v>96</v>
      </c>
      <c r="G6" s="330">
        <f>'Revenue Projection'!G13</f>
        <v>204</v>
      </c>
      <c r="H6" s="331">
        <f>'Revenue Projection'!H13</f>
        <v>438</v>
      </c>
      <c r="I6" s="119">
        <f>'Revenue Projection'!I13</f>
        <v>744</v>
      </c>
      <c r="J6" s="119">
        <f>'Revenue Projection'!J13</f>
        <v>1122</v>
      </c>
      <c r="K6" s="332">
        <f>'Revenue Projection'!K13</f>
        <v>1572</v>
      </c>
      <c r="L6" s="329">
        <f>'Revenue Projection'!L13</f>
        <v>2058</v>
      </c>
      <c r="M6" s="295">
        <f>'Revenue Projection'!M13</f>
        <v>2544</v>
      </c>
      <c r="N6" s="295">
        <f>'Revenue Projection'!N13</f>
        <v>3030</v>
      </c>
      <c r="O6" s="330">
        <f>'Revenue Projection'!O13</f>
        <v>3516</v>
      </c>
      <c r="P6" s="331">
        <f>'Revenue Projection'!P13</f>
        <v>4002</v>
      </c>
      <c r="Q6" s="119">
        <f>'Revenue Projection'!Q13</f>
        <v>4488</v>
      </c>
      <c r="R6" s="119">
        <f>'Revenue Projection'!R13</f>
        <v>4974</v>
      </c>
      <c r="S6" s="119">
        <f>'Revenue Projection'!S13</f>
        <v>5460</v>
      </c>
    </row>
    <row r="7" spans="1:19" ht="19.5" customHeight="1">
      <c r="A7" s="104" t="str">
        <f>'Revenue Projection'!$A15</f>
        <v>Acquired Client Count</v>
      </c>
      <c r="B7" s="327"/>
      <c r="C7" s="328"/>
      <c r="D7" s="329">
        <f>'Revenue Projection'!D15</f>
        <v>0</v>
      </c>
      <c r="E7" s="295">
        <f>'Revenue Projection'!E15</f>
        <v>54</v>
      </c>
      <c r="F7" s="295">
        <f>'Revenue Projection'!F15</f>
        <v>108</v>
      </c>
      <c r="G7" s="330">
        <f>'Revenue Projection'!G15</f>
        <v>576</v>
      </c>
      <c r="H7" s="331">
        <f>'Revenue Projection'!H15</f>
        <v>1836</v>
      </c>
      <c r="I7" s="119">
        <f>'Revenue Projection'!I15</f>
        <v>5256</v>
      </c>
      <c r="J7" s="119">
        <f>'Revenue Projection'!J15</f>
        <v>11160</v>
      </c>
      <c r="K7" s="332">
        <f>'Revenue Projection'!K15</f>
        <v>20196</v>
      </c>
      <c r="L7" s="329">
        <f>'Revenue Projection'!L15</f>
        <v>33012</v>
      </c>
      <c r="M7" s="295">
        <f>'Revenue Projection'!M15</f>
        <v>49392</v>
      </c>
      <c r="N7" s="295">
        <f>'Revenue Projection'!N15</f>
        <v>61056</v>
      </c>
      <c r="O7" s="330">
        <f>'Revenue Projection'!O15</f>
        <v>72720</v>
      </c>
      <c r="P7" s="331">
        <f>'Revenue Projection'!P15</f>
        <v>84384</v>
      </c>
      <c r="Q7" s="119">
        <f>'Revenue Projection'!Q15</f>
        <v>96048</v>
      </c>
      <c r="R7" s="119">
        <f>'Revenue Projection'!R15</f>
        <v>107712</v>
      </c>
      <c r="S7" s="119">
        <f>'Revenue Projection'!S15</f>
        <v>119376</v>
      </c>
    </row>
    <row r="8" spans="1:19" ht="19.5" customHeight="1">
      <c r="A8" s="104" t="str">
        <f>'Revenue Projection'!$A16</f>
        <v>Cumulative Client Count</v>
      </c>
      <c r="B8" s="327"/>
      <c r="C8" s="328"/>
      <c r="D8" s="329">
        <f>'Revenue Projection'!D16</f>
        <v>0</v>
      </c>
      <c r="E8" s="295">
        <f>'Revenue Projection'!E16</f>
        <v>54</v>
      </c>
      <c r="F8" s="295">
        <f>'Revenue Projection'!F16</f>
        <v>162</v>
      </c>
      <c r="G8" s="330">
        <f>'Revenue Projection'!G16</f>
        <v>738</v>
      </c>
      <c r="H8" s="331">
        <f>'Revenue Projection'!H16</f>
        <v>2574</v>
      </c>
      <c r="I8" s="119">
        <f>'Revenue Projection'!I16</f>
        <v>7830</v>
      </c>
      <c r="J8" s="119">
        <f>'Revenue Projection'!J16</f>
        <v>18990</v>
      </c>
      <c r="K8" s="332">
        <f>'Revenue Projection'!K16</f>
        <v>39186</v>
      </c>
      <c r="L8" s="329">
        <f>'Revenue Projection'!L16</f>
        <v>72198</v>
      </c>
      <c r="M8" s="295">
        <f>'Revenue Projection'!M16</f>
        <v>121590</v>
      </c>
      <c r="N8" s="295">
        <f>'Revenue Projection'!N16</f>
        <v>182646</v>
      </c>
      <c r="O8" s="330">
        <f>'Revenue Projection'!O16</f>
        <v>255366</v>
      </c>
      <c r="P8" s="331">
        <f>'Revenue Projection'!P16</f>
        <v>339750</v>
      </c>
      <c r="Q8" s="119">
        <f>'Revenue Projection'!Q16</f>
        <v>435798</v>
      </c>
      <c r="R8" s="119">
        <f>'Revenue Projection'!R16</f>
        <v>543510</v>
      </c>
      <c r="S8" s="119">
        <f>'Revenue Projection'!S16</f>
        <v>662886</v>
      </c>
    </row>
    <row r="9" spans="1:19" ht="19.5" customHeight="1">
      <c r="A9" s="304" t="s">
        <v>203</v>
      </c>
      <c r="B9" s="327"/>
      <c r="C9" s="328"/>
      <c r="D9" s="333"/>
      <c r="E9" s="306"/>
      <c r="F9" s="306"/>
      <c r="G9" s="334"/>
      <c r="H9" s="335"/>
      <c r="I9" s="124"/>
      <c r="J9" s="124"/>
      <c r="K9" s="336"/>
      <c r="L9" s="333"/>
      <c r="M9" s="306"/>
      <c r="N9" s="306"/>
      <c r="O9" s="334"/>
      <c r="P9" s="335"/>
      <c r="Q9" s="124"/>
      <c r="R9" s="124"/>
      <c r="S9" s="124"/>
    </row>
    <row r="10" spans="1:19" ht="19.5" customHeight="1">
      <c r="A10" s="381" t="s">
        <v>204</v>
      </c>
      <c r="B10" s="337" t="s">
        <v>158</v>
      </c>
      <c r="C10" s="328"/>
      <c r="D10" s="338">
        <f>'Revenue Projection'!D10</f>
        <v>6</v>
      </c>
      <c r="E10" s="309">
        <f>'Revenue Projection'!E10</f>
        <v>6</v>
      </c>
      <c r="F10" s="309">
        <f>'Revenue Projection'!F10</f>
        <v>10</v>
      </c>
      <c r="G10" s="339">
        <f>'Revenue Projection'!G10</f>
        <v>18</v>
      </c>
      <c r="H10" s="340">
        <f>'Revenue Projection'!H10</f>
        <v>26</v>
      </c>
      <c r="I10" s="111">
        <f>'Revenue Projection'!I10</f>
        <v>34</v>
      </c>
      <c r="J10" s="111">
        <f>'Revenue Projection'!J10</f>
        <v>42</v>
      </c>
      <c r="K10" s="341">
        <f>'Revenue Projection'!K10</f>
        <v>50</v>
      </c>
      <c r="L10" s="338">
        <f>'Revenue Projection'!L10</f>
        <v>54</v>
      </c>
      <c r="M10" s="309">
        <f>'Revenue Projection'!M10</f>
        <v>54</v>
      </c>
      <c r="N10" s="309">
        <f>'Revenue Projection'!N10</f>
        <v>54</v>
      </c>
      <c r="O10" s="339">
        <f>'Revenue Projection'!O10</f>
        <v>54</v>
      </c>
      <c r="P10" s="340">
        <f>'Revenue Projection'!P10</f>
        <v>54</v>
      </c>
      <c r="Q10" s="111">
        <f>'Revenue Projection'!Q10</f>
        <v>54</v>
      </c>
      <c r="R10" s="111">
        <f>'Revenue Projection'!R10</f>
        <v>54</v>
      </c>
      <c r="S10" s="111">
        <f>'Revenue Projection'!S10</f>
        <v>54</v>
      </c>
    </row>
    <row r="11" spans="1:19" ht="19.5" customHeight="1">
      <c r="A11" s="382"/>
      <c r="B11" s="337" t="s">
        <v>194</v>
      </c>
      <c r="C11" s="342">
        <v>450000</v>
      </c>
      <c r="D11" s="329">
        <f t="shared" ref="D11:S11" si="0">$C$11*D10</f>
        <v>2700000</v>
      </c>
      <c r="E11" s="295">
        <f t="shared" si="0"/>
        <v>2700000</v>
      </c>
      <c r="F11" s="295">
        <f t="shared" si="0"/>
        <v>4500000</v>
      </c>
      <c r="G11" s="330">
        <f t="shared" si="0"/>
        <v>8100000</v>
      </c>
      <c r="H11" s="331">
        <f t="shared" si="0"/>
        <v>11700000</v>
      </c>
      <c r="I11" s="119">
        <f t="shared" si="0"/>
        <v>15300000</v>
      </c>
      <c r="J11" s="119">
        <f t="shared" si="0"/>
        <v>18900000</v>
      </c>
      <c r="K11" s="332">
        <f t="shared" si="0"/>
        <v>22500000</v>
      </c>
      <c r="L11" s="329">
        <f t="shared" si="0"/>
        <v>24300000</v>
      </c>
      <c r="M11" s="295">
        <f t="shared" si="0"/>
        <v>24300000</v>
      </c>
      <c r="N11" s="295">
        <f t="shared" si="0"/>
        <v>24300000</v>
      </c>
      <c r="O11" s="330">
        <f t="shared" si="0"/>
        <v>24300000</v>
      </c>
      <c r="P11" s="331">
        <f t="shared" si="0"/>
        <v>24300000</v>
      </c>
      <c r="Q11" s="119">
        <f t="shared" si="0"/>
        <v>24300000</v>
      </c>
      <c r="R11" s="119">
        <f t="shared" si="0"/>
        <v>24300000</v>
      </c>
      <c r="S11" s="119">
        <f t="shared" si="0"/>
        <v>24300000</v>
      </c>
    </row>
    <row r="12" spans="1:19" ht="19.5" customHeight="1">
      <c r="A12" s="381" t="s">
        <v>205</v>
      </c>
      <c r="B12" s="337" t="s">
        <v>158</v>
      </c>
      <c r="C12" s="342">
        <v>270</v>
      </c>
      <c r="D12" s="329">
        <v>3</v>
      </c>
      <c r="E12" s="295">
        <v>3</v>
      </c>
      <c r="F12" s="295">
        <v>3</v>
      </c>
      <c r="G12" s="330">
        <f t="shared" ref="G12:S12" si="1">ROUNDUP(G7/$C$12,0)</f>
        <v>3</v>
      </c>
      <c r="H12" s="331">
        <f t="shared" si="1"/>
        <v>7</v>
      </c>
      <c r="I12" s="119">
        <f t="shared" si="1"/>
        <v>20</v>
      </c>
      <c r="J12" s="119">
        <f t="shared" si="1"/>
        <v>42</v>
      </c>
      <c r="K12" s="332">
        <f t="shared" si="1"/>
        <v>75</v>
      </c>
      <c r="L12" s="329">
        <f t="shared" si="1"/>
        <v>123</v>
      </c>
      <c r="M12" s="295">
        <f t="shared" si="1"/>
        <v>183</v>
      </c>
      <c r="N12" s="295">
        <f t="shared" si="1"/>
        <v>227</v>
      </c>
      <c r="O12" s="330">
        <f t="shared" si="1"/>
        <v>270</v>
      </c>
      <c r="P12" s="331">
        <f t="shared" si="1"/>
        <v>313</v>
      </c>
      <c r="Q12" s="119">
        <f t="shared" si="1"/>
        <v>356</v>
      </c>
      <c r="R12" s="119">
        <f t="shared" si="1"/>
        <v>399</v>
      </c>
      <c r="S12" s="119">
        <f t="shared" si="1"/>
        <v>443</v>
      </c>
    </row>
    <row r="13" spans="1:19" ht="19.5" customHeight="1">
      <c r="A13" s="382"/>
      <c r="B13" s="337" t="s">
        <v>194</v>
      </c>
      <c r="C13" s="342">
        <f>75000*3</f>
        <v>225000</v>
      </c>
      <c r="D13" s="329">
        <f t="shared" ref="D13:S13" si="2">D12*$C$13</f>
        <v>675000</v>
      </c>
      <c r="E13" s="295">
        <f t="shared" si="2"/>
        <v>675000</v>
      </c>
      <c r="F13" s="295">
        <f t="shared" si="2"/>
        <v>675000</v>
      </c>
      <c r="G13" s="330">
        <f t="shared" si="2"/>
        <v>675000</v>
      </c>
      <c r="H13" s="331">
        <f t="shared" si="2"/>
        <v>1575000</v>
      </c>
      <c r="I13" s="119">
        <f t="shared" si="2"/>
        <v>4500000</v>
      </c>
      <c r="J13" s="119">
        <f t="shared" si="2"/>
        <v>9450000</v>
      </c>
      <c r="K13" s="332">
        <f t="shared" si="2"/>
        <v>16875000</v>
      </c>
      <c r="L13" s="329">
        <f t="shared" si="2"/>
        <v>27675000</v>
      </c>
      <c r="M13" s="295">
        <f t="shared" si="2"/>
        <v>41175000</v>
      </c>
      <c r="N13" s="295">
        <f t="shared" si="2"/>
        <v>51075000</v>
      </c>
      <c r="O13" s="330">
        <f t="shared" si="2"/>
        <v>60750000</v>
      </c>
      <c r="P13" s="331">
        <f t="shared" si="2"/>
        <v>70425000</v>
      </c>
      <c r="Q13" s="119">
        <f t="shared" si="2"/>
        <v>80100000</v>
      </c>
      <c r="R13" s="119">
        <f t="shared" si="2"/>
        <v>89775000</v>
      </c>
      <c r="S13" s="119">
        <f t="shared" si="2"/>
        <v>99675000</v>
      </c>
    </row>
    <row r="14" spans="1:19" ht="19.5" customHeight="1">
      <c r="A14" s="381" t="s">
        <v>206</v>
      </c>
      <c r="B14" s="337" t="s">
        <v>158</v>
      </c>
      <c r="C14" s="342">
        <v>500</v>
      </c>
      <c r="D14" s="329">
        <v>3</v>
      </c>
      <c r="E14" s="295">
        <v>3</v>
      </c>
      <c r="F14" s="295">
        <v>3</v>
      </c>
      <c r="G14" s="330">
        <f t="shared" ref="G14:S14" si="3">ROUNDUP(G8/$C$14,0)</f>
        <v>2</v>
      </c>
      <c r="H14" s="331">
        <f t="shared" si="3"/>
        <v>6</v>
      </c>
      <c r="I14" s="119">
        <f t="shared" si="3"/>
        <v>16</v>
      </c>
      <c r="J14" s="119">
        <f t="shared" si="3"/>
        <v>38</v>
      </c>
      <c r="K14" s="332">
        <f t="shared" si="3"/>
        <v>79</v>
      </c>
      <c r="L14" s="329">
        <f t="shared" si="3"/>
        <v>145</v>
      </c>
      <c r="M14" s="295">
        <f t="shared" si="3"/>
        <v>244</v>
      </c>
      <c r="N14" s="295">
        <f t="shared" si="3"/>
        <v>366</v>
      </c>
      <c r="O14" s="330">
        <f t="shared" si="3"/>
        <v>511</v>
      </c>
      <c r="P14" s="331">
        <f t="shared" si="3"/>
        <v>680</v>
      </c>
      <c r="Q14" s="119">
        <f t="shared" si="3"/>
        <v>872</v>
      </c>
      <c r="R14" s="119">
        <f t="shared" si="3"/>
        <v>1088</v>
      </c>
      <c r="S14" s="119">
        <f t="shared" si="3"/>
        <v>1326</v>
      </c>
    </row>
    <row r="15" spans="1:19" ht="19.5" customHeight="1">
      <c r="A15" s="382"/>
      <c r="B15" s="337" t="s">
        <v>194</v>
      </c>
      <c r="C15" s="342">
        <f>50000*3</f>
        <v>150000</v>
      </c>
      <c r="D15" s="329">
        <f t="shared" ref="D15:S15" si="4">D14*$C$15</f>
        <v>450000</v>
      </c>
      <c r="E15" s="295">
        <f t="shared" si="4"/>
        <v>450000</v>
      </c>
      <c r="F15" s="295">
        <f t="shared" si="4"/>
        <v>450000</v>
      </c>
      <c r="G15" s="330">
        <f t="shared" si="4"/>
        <v>300000</v>
      </c>
      <c r="H15" s="331">
        <f t="shared" si="4"/>
        <v>900000</v>
      </c>
      <c r="I15" s="119">
        <f t="shared" si="4"/>
        <v>2400000</v>
      </c>
      <c r="J15" s="119">
        <f t="shared" si="4"/>
        <v>5700000</v>
      </c>
      <c r="K15" s="332">
        <f t="shared" si="4"/>
        <v>11850000</v>
      </c>
      <c r="L15" s="329">
        <f t="shared" si="4"/>
        <v>21750000</v>
      </c>
      <c r="M15" s="295">
        <f t="shared" si="4"/>
        <v>36600000</v>
      </c>
      <c r="N15" s="295">
        <f t="shared" si="4"/>
        <v>54900000</v>
      </c>
      <c r="O15" s="330">
        <f t="shared" si="4"/>
        <v>76650000</v>
      </c>
      <c r="P15" s="331">
        <f t="shared" si="4"/>
        <v>102000000</v>
      </c>
      <c r="Q15" s="119">
        <f t="shared" si="4"/>
        <v>130800000</v>
      </c>
      <c r="R15" s="119">
        <f t="shared" si="4"/>
        <v>163200000</v>
      </c>
      <c r="S15" s="119">
        <f t="shared" si="4"/>
        <v>198900000</v>
      </c>
    </row>
    <row r="16" spans="1:19" ht="19.5" customHeight="1">
      <c r="A16" s="381" t="s">
        <v>207</v>
      </c>
      <c r="B16" s="337" t="s">
        <v>158</v>
      </c>
      <c r="C16" s="342">
        <v>30</v>
      </c>
      <c r="D16" s="329">
        <f t="shared" ref="D16:S16" si="5">ROUNDUP(D14/$C$16,0)</f>
        <v>1</v>
      </c>
      <c r="E16" s="295">
        <f t="shared" si="5"/>
        <v>1</v>
      </c>
      <c r="F16" s="295">
        <f t="shared" si="5"/>
        <v>1</v>
      </c>
      <c r="G16" s="330">
        <f t="shared" si="5"/>
        <v>1</v>
      </c>
      <c r="H16" s="331">
        <f t="shared" si="5"/>
        <v>1</v>
      </c>
      <c r="I16" s="119">
        <f t="shared" si="5"/>
        <v>1</v>
      </c>
      <c r="J16" s="119">
        <f t="shared" si="5"/>
        <v>2</v>
      </c>
      <c r="K16" s="332">
        <f t="shared" si="5"/>
        <v>3</v>
      </c>
      <c r="L16" s="329">
        <f t="shared" si="5"/>
        <v>5</v>
      </c>
      <c r="M16" s="295">
        <f t="shared" si="5"/>
        <v>9</v>
      </c>
      <c r="N16" s="295">
        <f t="shared" si="5"/>
        <v>13</v>
      </c>
      <c r="O16" s="330">
        <f t="shared" si="5"/>
        <v>18</v>
      </c>
      <c r="P16" s="331">
        <f t="shared" si="5"/>
        <v>23</v>
      </c>
      <c r="Q16" s="119">
        <f t="shared" si="5"/>
        <v>30</v>
      </c>
      <c r="R16" s="119">
        <f t="shared" si="5"/>
        <v>37</v>
      </c>
      <c r="S16" s="119">
        <f t="shared" si="5"/>
        <v>45</v>
      </c>
    </row>
    <row r="17" spans="1:19" ht="19.5" customHeight="1">
      <c r="A17" s="382"/>
      <c r="B17" s="337" t="s">
        <v>194</v>
      </c>
      <c r="C17" s="342">
        <v>400000</v>
      </c>
      <c r="D17" s="329">
        <f t="shared" ref="D17:S17" si="6">D16*$C$17</f>
        <v>400000</v>
      </c>
      <c r="E17" s="295">
        <f t="shared" si="6"/>
        <v>400000</v>
      </c>
      <c r="F17" s="295">
        <f t="shared" si="6"/>
        <v>400000</v>
      </c>
      <c r="G17" s="330">
        <f t="shared" si="6"/>
        <v>400000</v>
      </c>
      <c r="H17" s="331">
        <f t="shared" si="6"/>
        <v>400000</v>
      </c>
      <c r="I17" s="119">
        <f t="shared" si="6"/>
        <v>400000</v>
      </c>
      <c r="J17" s="119">
        <f t="shared" si="6"/>
        <v>800000</v>
      </c>
      <c r="K17" s="332">
        <f t="shared" si="6"/>
        <v>1200000</v>
      </c>
      <c r="L17" s="329">
        <f t="shared" si="6"/>
        <v>2000000</v>
      </c>
      <c r="M17" s="295">
        <f t="shared" si="6"/>
        <v>3600000</v>
      </c>
      <c r="N17" s="295">
        <f t="shared" si="6"/>
        <v>5200000</v>
      </c>
      <c r="O17" s="330">
        <f t="shared" si="6"/>
        <v>7200000</v>
      </c>
      <c r="P17" s="331">
        <f t="shared" si="6"/>
        <v>9200000</v>
      </c>
      <c r="Q17" s="119">
        <f t="shared" si="6"/>
        <v>12000000</v>
      </c>
      <c r="R17" s="119">
        <f t="shared" si="6"/>
        <v>14800000</v>
      </c>
      <c r="S17" s="119">
        <f t="shared" si="6"/>
        <v>18000000</v>
      </c>
    </row>
    <row r="18" spans="1:19" ht="19.5" customHeight="1">
      <c r="A18" s="381" t="s">
        <v>208</v>
      </c>
      <c r="B18" s="337" t="s">
        <v>158</v>
      </c>
      <c r="C18" s="328"/>
      <c r="D18" s="329">
        <v>1</v>
      </c>
      <c r="E18" s="295">
        <v>1</v>
      </c>
      <c r="F18" s="295">
        <v>2</v>
      </c>
      <c r="G18" s="330">
        <v>2</v>
      </c>
      <c r="H18" s="331">
        <v>3</v>
      </c>
      <c r="I18" s="119">
        <v>4</v>
      </c>
      <c r="J18" s="119">
        <v>5</v>
      </c>
      <c r="K18" s="332">
        <v>5</v>
      </c>
      <c r="L18" s="329">
        <v>5</v>
      </c>
      <c r="M18" s="295">
        <v>5</v>
      </c>
      <c r="N18" s="295">
        <v>5</v>
      </c>
      <c r="O18" s="330">
        <v>5</v>
      </c>
      <c r="P18" s="331">
        <v>5</v>
      </c>
      <c r="Q18" s="119">
        <v>5</v>
      </c>
      <c r="R18" s="119">
        <v>5</v>
      </c>
      <c r="S18" s="119">
        <v>5</v>
      </c>
    </row>
    <row r="19" spans="1:19" ht="19.5" customHeight="1">
      <c r="A19" s="382"/>
      <c r="B19" s="337" t="s">
        <v>194</v>
      </c>
      <c r="C19" s="342">
        <v>600000</v>
      </c>
      <c r="D19" s="329">
        <f t="shared" ref="D19:S19" si="7">D18*$C$19</f>
        <v>600000</v>
      </c>
      <c r="E19" s="295">
        <f t="shared" si="7"/>
        <v>600000</v>
      </c>
      <c r="F19" s="295">
        <f t="shared" si="7"/>
        <v>1200000</v>
      </c>
      <c r="G19" s="330">
        <f t="shared" si="7"/>
        <v>1200000</v>
      </c>
      <c r="H19" s="331">
        <f t="shared" si="7"/>
        <v>1800000</v>
      </c>
      <c r="I19" s="119">
        <f t="shared" si="7"/>
        <v>2400000</v>
      </c>
      <c r="J19" s="119">
        <f t="shared" si="7"/>
        <v>3000000</v>
      </c>
      <c r="K19" s="332">
        <f t="shared" si="7"/>
        <v>3000000</v>
      </c>
      <c r="L19" s="329">
        <f t="shared" si="7"/>
        <v>3000000</v>
      </c>
      <c r="M19" s="295">
        <f t="shared" si="7"/>
        <v>3000000</v>
      </c>
      <c r="N19" s="295">
        <f t="shared" si="7"/>
        <v>3000000</v>
      </c>
      <c r="O19" s="330">
        <f t="shared" si="7"/>
        <v>3000000</v>
      </c>
      <c r="P19" s="331">
        <f t="shared" si="7"/>
        <v>3000000</v>
      </c>
      <c r="Q19" s="119">
        <f t="shared" si="7"/>
        <v>3000000</v>
      </c>
      <c r="R19" s="119">
        <f t="shared" si="7"/>
        <v>3000000</v>
      </c>
      <c r="S19" s="119">
        <f t="shared" si="7"/>
        <v>3000000</v>
      </c>
    </row>
    <row r="20" spans="1:19" ht="19.5" customHeight="1">
      <c r="A20" s="381" t="s">
        <v>209</v>
      </c>
      <c r="B20" s="337" t="s">
        <v>158</v>
      </c>
      <c r="C20" s="328"/>
      <c r="D20" s="329">
        <v>2</v>
      </c>
      <c r="E20" s="295">
        <v>2</v>
      </c>
      <c r="F20" s="295">
        <v>2</v>
      </c>
      <c r="G20" s="330">
        <v>2</v>
      </c>
      <c r="H20" s="331">
        <v>2</v>
      </c>
      <c r="I20" s="119">
        <v>2</v>
      </c>
      <c r="J20" s="119">
        <v>2</v>
      </c>
      <c r="K20" s="332">
        <v>2</v>
      </c>
      <c r="L20" s="329">
        <v>2</v>
      </c>
      <c r="M20" s="295">
        <v>2</v>
      </c>
      <c r="N20" s="295">
        <v>2</v>
      </c>
      <c r="O20" s="330">
        <v>2</v>
      </c>
      <c r="P20" s="331">
        <v>2</v>
      </c>
      <c r="Q20" s="119">
        <v>2</v>
      </c>
      <c r="R20" s="119">
        <v>2</v>
      </c>
      <c r="S20" s="119">
        <v>2</v>
      </c>
    </row>
    <row r="21" spans="1:19" ht="19.5" customHeight="1">
      <c r="A21" s="382"/>
      <c r="B21" s="337" t="s">
        <v>194</v>
      </c>
      <c r="C21" s="342">
        <v>600000</v>
      </c>
      <c r="D21" s="329">
        <f t="shared" ref="D21:S21" si="8">D20*$C$21</f>
        <v>1200000</v>
      </c>
      <c r="E21" s="295">
        <f t="shared" si="8"/>
        <v>1200000</v>
      </c>
      <c r="F21" s="295">
        <f t="shared" si="8"/>
        <v>1200000</v>
      </c>
      <c r="G21" s="330">
        <f t="shared" si="8"/>
        <v>1200000</v>
      </c>
      <c r="H21" s="331">
        <f t="shared" si="8"/>
        <v>1200000</v>
      </c>
      <c r="I21" s="119">
        <f t="shared" si="8"/>
        <v>1200000</v>
      </c>
      <c r="J21" s="119">
        <f t="shared" si="8"/>
        <v>1200000</v>
      </c>
      <c r="K21" s="332">
        <f t="shared" si="8"/>
        <v>1200000</v>
      </c>
      <c r="L21" s="329">
        <f t="shared" si="8"/>
        <v>1200000</v>
      </c>
      <c r="M21" s="295">
        <f t="shared" si="8"/>
        <v>1200000</v>
      </c>
      <c r="N21" s="295">
        <f t="shared" si="8"/>
        <v>1200000</v>
      </c>
      <c r="O21" s="330">
        <f t="shared" si="8"/>
        <v>1200000</v>
      </c>
      <c r="P21" s="331">
        <f t="shared" si="8"/>
        <v>1200000</v>
      </c>
      <c r="Q21" s="119">
        <f t="shared" si="8"/>
        <v>1200000</v>
      </c>
      <c r="R21" s="119">
        <f t="shared" si="8"/>
        <v>1200000</v>
      </c>
      <c r="S21" s="119">
        <f t="shared" si="8"/>
        <v>1200000</v>
      </c>
    </row>
    <row r="22" spans="1:19" ht="19.5" customHeight="1">
      <c r="A22" s="381" t="s">
        <v>210</v>
      </c>
      <c r="B22" s="337" t="s">
        <v>211</v>
      </c>
      <c r="C22" s="342">
        <v>9000000</v>
      </c>
      <c r="D22" s="329">
        <v>9000000</v>
      </c>
      <c r="E22" s="295">
        <v>9000000</v>
      </c>
      <c r="F22" s="295">
        <v>9000000</v>
      </c>
      <c r="G22" s="330">
        <v>9000000</v>
      </c>
      <c r="H22" s="331">
        <v>9000000</v>
      </c>
      <c r="I22" s="119">
        <v>9000000</v>
      </c>
      <c r="J22" s="119">
        <v>9000000</v>
      </c>
      <c r="K22" s="332">
        <v>9000000</v>
      </c>
      <c r="L22" s="329">
        <v>9000000</v>
      </c>
      <c r="M22" s="295">
        <v>9000000</v>
      </c>
      <c r="N22" s="295">
        <v>9000000</v>
      </c>
      <c r="O22" s="330">
        <v>9000000</v>
      </c>
      <c r="P22" s="331">
        <v>9000000</v>
      </c>
      <c r="Q22" s="119">
        <v>9000000</v>
      </c>
      <c r="R22" s="119">
        <v>9000000</v>
      </c>
      <c r="S22" s="119">
        <v>9000000</v>
      </c>
    </row>
    <row r="23" spans="1:19" ht="19.5" customHeight="1">
      <c r="A23" s="403"/>
      <c r="B23" s="337" t="s">
        <v>212</v>
      </c>
      <c r="C23" s="342">
        <v>900000</v>
      </c>
      <c r="D23" s="329">
        <v>900000</v>
      </c>
      <c r="E23" s="295">
        <v>900000</v>
      </c>
      <c r="F23" s="295">
        <v>900000</v>
      </c>
      <c r="G23" s="330">
        <v>900000</v>
      </c>
      <c r="H23" s="331">
        <v>900000</v>
      </c>
      <c r="I23" s="119">
        <v>900000</v>
      </c>
      <c r="J23" s="119">
        <v>900000</v>
      </c>
      <c r="K23" s="332">
        <v>900000</v>
      </c>
      <c r="L23" s="329">
        <v>900000</v>
      </c>
      <c r="M23" s="295">
        <v>900000</v>
      </c>
      <c r="N23" s="295">
        <v>900000</v>
      </c>
      <c r="O23" s="330">
        <v>900000</v>
      </c>
      <c r="P23" s="331">
        <v>900000</v>
      </c>
      <c r="Q23" s="119">
        <v>900000</v>
      </c>
      <c r="R23" s="119">
        <v>900000</v>
      </c>
      <c r="S23" s="119">
        <v>900000</v>
      </c>
    </row>
    <row r="24" spans="1:19" ht="19.5" customHeight="1">
      <c r="A24" s="382"/>
      <c r="B24" s="337" t="s">
        <v>213</v>
      </c>
      <c r="C24" s="342">
        <v>1200000</v>
      </c>
      <c r="D24" s="329">
        <v>1200000</v>
      </c>
      <c r="E24" s="295">
        <v>1200000</v>
      </c>
      <c r="F24" s="295">
        <v>1200000</v>
      </c>
      <c r="G24" s="330">
        <v>1200000</v>
      </c>
      <c r="H24" s="331">
        <v>1200000</v>
      </c>
      <c r="I24" s="119">
        <v>1200000</v>
      </c>
      <c r="J24" s="119">
        <v>1200000</v>
      </c>
      <c r="K24" s="332">
        <v>1200000</v>
      </c>
      <c r="L24" s="329">
        <v>1200000</v>
      </c>
      <c r="M24" s="295">
        <v>1200000</v>
      </c>
      <c r="N24" s="295">
        <v>1200000</v>
      </c>
      <c r="O24" s="330">
        <v>1200000</v>
      </c>
      <c r="P24" s="331">
        <v>1200000</v>
      </c>
      <c r="Q24" s="119">
        <v>1200000</v>
      </c>
      <c r="R24" s="119">
        <v>1200000</v>
      </c>
      <c r="S24" s="119">
        <v>1200000</v>
      </c>
    </row>
    <row r="25" spans="1:19" ht="19.5" customHeight="1">
      <c r="A25" s="464"/>
      <c r="B25" s="470" t="s">
        <v>214</v>
      </c>
      <c r="C25" s="442"/>
      <c r="D25" s="343">
        <f t="shared" ref="D25:S25" si="9">D24+D23+D22+D21+D19+D17+D15+D13+D11</f>
        <v>17125000</v>
      </c>
      <c r="E25" s="344">
        <f t="shared" si="9"/>
        <v>17125000</v>
      </c>
      <c r="F25" s="344">
        <f t="shared" si="9"/>
        <v>19525000</v>
      </c>
      <c r="G25" s="345">
        <f t="shared" si="9"/>
        <v>22975000</v>
      </c>
      <c r="H25" s="343">
        <f t="shared" si="9"/>
        <v>28675000</v>
      </c>
      <c r="I25" s="344">
        <f t="shared" si="9"/>
        <v>37300000</v>
      </c>
      <c r="J25" s="344">
        <f t="shared" si="9"/>
        <v>50150000</v>
      </c>
      <c r="K25" s="345">
        <f t="shared" si="9"/>
        <v>67725000</v>
      </c>
      <c r="L25" s="343">
        <f t="shared" si="9"/>
        <v>91025000</v>
      </c>
      <c r="M25" s="344">
        <f t="shared" si="9"/>
        <v>120975000</v>
      </c>
      <c r="N25" s="344">
        <f t="shared" si="9"/>
        <v>150775000</v>
      </c>
      <c r="O25" s="345">
        <f t="shared" si="9"/>
        <v>184200000</v>
      </c>
      <c r="P25" s="343">
        <f t="shared" si="9"/>
        <v>221225000</v>
      </c>
      <c r="Q25" s="344">
        <f t="shared" si="9"/>
        <v>262500000</v>
      </c>
      <c r="R25" s="344">
        <f t="shared" si="9"/>
        <v>307375000</v>
      </c>
      <c r="S25" s="344">
        <f t="shared" si="9"/>
        <v>356175000</v>
      </c>
    </row>
    <row r="26" spans="1:19" ht="19.5" customHeight="1">
      <c r="A26" s="465"/>
      <c r="B26" s="463" t="s">
        <v>215</v>
      </c>
      <c r="C26" s="442"/>
      <c r="D26" s="346">
        <f t="shared" ref="D26:S26" si="10">D25/10000000</f>
        <v>1.7124999999999999</v>
      </c>
      <c r="E26" s="347">
        <f t="shared" si="10"/>
        <v>1.7124999999999999</v>
      </c>
      <c r="F26" s="347">
        <f t="shared" si="10"/>
        <v>1.9524999999999999</v>
      </c>
      <c r="G26" s="348">
        <f t="shared" si="10"/>
        <v>2.2974999999999999</v>
      </c>
      <c r="H26" s="349">
        <f t="shared" si="10"/>
        <v>2.8675000000000002</v>
      </c>
      <c r="I26" s="350">
        <f t="shared" si="10"/>
        <v>3.73</v>
      </c>
      <c r="J26" s="350">
        <f t="shared" si="10"/>
        <v>5.0149999999999997</v>
      </c>
      <c r="K26" s="351">
        <f t="shared" si="10"/>
        <v>6.7725</v>
      </c>
      <c r="L26" s="346">
        <f t="shared" si="10"/>
        <v>9.1024999999999991</v>
      </c>
      <c r="M26" s="347">
        <f t="shared" si="10"/>
        <v>12.0975</v>
      </c>
      <c r="N26" s="347">
        <f t="shared" si="10"/>
        <v>15.077500000000001</v>
      </c>
      <c r="O26" s="348">
        <f t="shared" si="10"/>
        <v>18.420000000000002</v>
      </c>
      <c r="P26" s="349">
        <f t="shared" si="10"/>
        <v>22.122499999999999</v>
      </c>
      <c r="Q26" s="350">
        <f t="shared" si="10"/>
        <v>26.25</v>
      </c>
      <c r="R26" s="350">
        <f t="shared" si="10"/>
        <v>30.737500000000001</v>
      </c>
      <c r="S26" s="350">
        <f t="shared" si="10"/>
        <v>35.6175</v>
      </c>
    </row>
  </sheetData>
  <mergeCells count="18">
    <mergeCell ref="L2:O2"/>
    <mergeCell ref="A20:A21"/>
    <mergeCell ref="H2:K2"/>
    <mergeCell ref="B26:C26"/>
    <mergeCell ref="A25:A26"/>
    <mergeCell ref="A2:A3"/>
    <mergeCell ref="A1:S1"/>
    <mergeCell ref="A22:A24"/>
    <mergeCell ref="A12:A13"/>
    <mergeCell ref="C2:C3"/>
    <mergeCell ref="A10:A11"/>
    <mergeCell ref="D2:G2"/>
    <mergeCell ref="A14:A15"/>
    <mergeCell ref="P2:S2"/>
    <mergeCell ref="A16:A17"/>
    <mergeCell ref="A18:A19"/>
    <mergeCell ref="B2:B3"/>
    <mergeCell ref="B25:C25"/>
  </mergeCells>
  <pageMargins left="0.19685" right="0.19685" top="1" bottom="1" header="0" footer="0"/>
  <pageSetup orientation="landscape"/>
  <headerFooter>
    <oddFooter>&amp;C&amp;"Helvetica Neue,Regular"&amp;10&amp;K000000000000&amp;P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PL, NPV, IRR</vt:lpstr>
      <vt:lpstr>Revenue Projection</vt:lpstr>
      <vt:lpstr>Burn Rate - Burn Rate</vt:lpstr>
      <vt:lpstr>Revenue Projection Brief - Reve</vt:lpstr>
      <vt:lpstr>Partner Onboarding Scheme</vt:lpstr>
      <vt:lpstr>Marketing Cost - Marketing Cost</vt:lpstr>
      <vt:lpstr>Marketing Brief </vt:lpstr>
      <vt:lpstr>Software Cost</vt:lpstr>
      <vt:lpstr>HR Cost</vt:lpstr>
      <vt:lpstr>Other Recurrant Costs - Other S</vt:lpstr>
      <vt:lpstr>Roles</vt:lpstr>
      <vt:lpstr>'Burn Rate - Burn Rate'!Print_Area</vt:lpstr>
      <vt:lpstr>'Marketing Cost - Marketing Cost'!Print_Area</vt:lpstr>
      <vt:lpstr>'Partner Onboarding Scheme'!Print_Area</vt:lpstr>
      <vt:lpstr>'PL, NPV, IRR'!Print_Area</vt:lpstr>
      <vt:lpstr>'Revenue Projection'!Print_Area</vt:lpstr>
      <vt:lpstr>'Marketing Cost - Marketing Cost'!Print_Titles</vt:lpstr>
      <vt:lpstr>'Partner Onboarding Scheme'!Print_Titles</vt:lpstr>
      <vt:lpstr>'Revenue Projection'!Print_Titles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Gairik Banerjee</cp:lastModifiedBy>
  <cp:lastPrinted>2020-06-20T03:16:25Z</cp:lastPrinted>
  <dcterms:modified xsi:type="dcterms:W3CDTF">2020-06-20T03:59:06Z</dcterms:modified>
</cp:coreProperties>
</file>